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omments8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omments13.xml" ContentType="application/vnd.openxmlformats-officedocument.spreadsheetml.comments+xml"/>
  <Override PartName="/xl/drawings/drawing4.xml" ContentType="application/vnd.openxmlformats-officedocument.drawing+xml"/>
  <Override PartName="/xl/comments1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omments15.xml" ContentType="application/vnd.openxmlformats-officedocument.spreadsheetml.comments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17" activeTab="18"/>
  </bookViews>
  <sheets>
    <sheet name="G1" sheetId="3" r:id="rId1"/>
    <sheet name="G2" sheetId="4" r:id="rId2"/>
    <sheet name="G3" sheetId="5" r:id="rId3"/>
    <sheet name="G4" sheetId="6" r:id="rId4"/>
    <sheet name="G5" sheetId="7" r:id="rId5"/>
    <sheet name="G6" sheetId="2" r:id="rId6"/>
    <sheet name="G7" sheetId="8" r:id="rId7"/>
    <sheet name="G8" sheetId="1" r:id="rId8"/>
    <sheet name="G9" sheetId="9" r:id="rId9"/>
    <sheet name="G10" sheetId="10" r:id="rId10"/>
    <sheet name="G11" sheetId="11" r:id="rId11"/>
    <sheet name="G12" sheetId="12" r:id="rId12"/>
    <sheet name="G13" sheetId="13" r:id="rId13"/>
    <sheet name="summary" sheetId="16" r:id="rId14"/>
    <sheet name="Headcut depths" sheetId="21" r:id="rId15"/>
    <sheet name="RF VS L" sheetId="23" r:id="rId16"/>
    <sheet name="RF vs L,W,D" sheetId="20" r:id="rId17"/>
    <sheet name="summary 1" sheetId="14" r:id="rId18"/>
    <sheet name="CORRELations" sheetId="18" r:id="rId19"/>
    <sheet name="porewater" sheetId="17" r:id="rId20"/>
  </sheets>
  <externalReferences>
    <externalReference r:id="rId21"/>
  </externalReferences>
  <calcPr calcId="152511"/>
</workbook>
</file>

<file path=xl/calcChain.xml><?xml version="1.0" encoding="utf-8"?>
<calcChain xmlns="http://schemas.openxmlformats.org/spreadsheetml/2006/main">
  <c r="E16" i="16" l="1"/>
  <c r="C28" i="16"/>
  <c r="C27" i="16"/>
  <c r="C24" i="16"/>
  <c r="B24" i="16"/>
  <c r="C23" i="16"/>
  <c r="B23" i="16"/>
  <c r="C16" i="16"/>
  <c r="B16" i="16"/>
  <c r="C22" i="16"/>
  <c r="B22" i="16"/>
  <c r="C21" i="16"/>
  <c r="B21" i="16"/>
  <c r="C20" i="16"/>
  <c r="B20" i="16"/>
  <c r="B19" i="16"/>
  <c r="C19" i="16"/>
  <c r="C18" i="16"/>
  <c r="B18" i="16"/>
  <c r="C17" i="16"/>
  <c r="B17" i="16"/>
  <c r="C15" i="16"/>
  <c r="B15" i="16"/>
  <c r="B14" i="16"/>
  <c r="C14" i="16"/>
  <c r="C13" i="16"/>
  <c r="B13" i="16"/>
  <c r="C12" i="16"/>
  <c r="B12" i="16"/>
  <c r="M9" i="16"/>
  <c r="L9" i="16"/>
  <c r="AC8" i="16"/>
  <c r="AB8" i="16"/>
  <c r="AA8" i="16"/>
  <c r="BA8" i="16" s="1"/>
  <c r="Z8" i="16"/>
  <c r="AZ8" i="16" s="1"/>
  <c r="Y8" i="16"/>
  <c r="Y9" i="16" s="1"/>
  <c r="X8" i="16"/>
  <c r="X9" i="16" s="1"/>
  <c r="W8" i="16"/>
  <c r="AW8" i="16" s="1"/>
  <c r="V8" i="16"/>
  <c r="AV8" i="16" s="1"/>
  <c r="U8" i="16"/>
  <c r="U9" i="16" s="1"/>
  <c r="T8" i="16"/>
  <c r="T9" i="16" s="1"/>
  <c r="S8" i="16"/>
  <c r="AS8" i="16" s="1"/>
  <c r="R8" i="16"/>
  <c r="AR8" i="16" s="1"/>
  <c r="Q8" i="16"/>
  <c r="Q9" i="16" s="1"/>
  <c r="P8" i="16"/>
  <c r="P9" i="16" s="1"/>
  <c r="O8" i="16"/>
  <c r="AO8" i="16" s="1"/>
  <c r="N8" i="16"/>
  <c r="AN8" i="16" s="1"/>
  <c r="K8" i="16"/>
  <c r="K9" i="16" s="1"/>
  <c r="J8" i="16"/>
  <c r="J9" i="16" s="1"/>
  <c r="I8" i="16"/>
  <c r="AK8" i="16" s="1"/>
  <c r="H8" i="16"/>
  <c r="AJ8" i="16" s="1"/>
  <c r="G8" i="16"/>
  <c r="G9" i="16" s="1"/>
  <c r="F8" i="16"/>
  <c r="F9" i="16" s="1"/>
  <c r="E8" i="16"/>
  <c r="AG8" i="16" s="1"/>
  <c r="D8" i="16"/>
  <c r="AF8" i="16" s="1"/>
  <c r="C8" i="16"/>
  <c r="C9" i="16" s="1"/>
  <c r="B8" i="16"/>
  <c r="B9" i="16" s="1"/>
  <c r="BA7" i="16"/>
  <c r="AZ7" i="16"/>
  <c r="AY7" i="16"/>
  <c r="AX7" i="16"/>
  <c r="AW7" i="16"/>
  <c r="AV7" i="16"/>
  <c r="AU7" i="16"/>
  <c r="AT7" i="16"/>
  <c r="AS7" i="16"/>
  <c r="AR7" i="16"/>
  <c r="AQ7" i="16"/>
  <c r="AP7" i="16"/>
  <c r="AO7" i="16"/>
  <c r="AN7" i="16"/>
  <c r="AM7" i="16"/>
  <c r="AL7" i="16"/>
  <c r="AK7" i="16"/>
  <c r="AJ7" i="16"/>
  <c r="AI7" i="16"/>
  <c r="AH7" i="16"/>
  <c r="AG7" i="16"/>
  <c r="AF7" i="16"/>
  <c r="AE7" i="16"/>
  <c r="AD7" i="16"/>
  <c r="AC7" i="16"/>
  <c r="AB7" i="16"/>
  <c r="BA6" i="16"/>
  <c r="AZ6" i="16"/>
  <c r="AY6" i="16"/>
  <c r="AX6" i="16"/>
  <c r="AW6" i="16"/>
  <c r="AV6" i="16"/>
  <c r="AU6" i="16"/>
  <c r="AT6" i="16"/>
  <c r="AS6" i="16"/>
  <c r="AR6" i="16"/>
  <c r="AQ6" i="16"/>
  <c r="AP6" i="16"/>
  <c r="AO6" i="16"/>
  <c r="AN6" i="16"/>
  <c r="AM6" i="16"/>
  <c r="AL6" i="16"/>
  <c r="AK6" i="16"/>
  <c r="AJ6" i="16"/>
  <c r="AI6" i="16"/>
  <c r="AH6" i="16"/>
  <c r="AG6" i="16"/>
  <c r="AF6" i="16"/>
  <c r="AE6" i="16"/>
  <c r="AD6" i="16"/>
  <c r="AC6" i="16"/>
  <c r="AB6" i="16"/>
  <c r="BA5" i="16"/>
  <c r="AZ5" i="16"/>
  <c r="AY5" i="16"/>
  <c r="AX5" i="16"/>
  <c r="AW5" i="16"/>
  <c r="AV5" i="16"/>
  <c r="AU5" i="16"/>
  <c r="AT5" i="16"/>
  <c r="AS5" i="16"/>
  <c r="AR5" i="16"/>
  <c r="AQ5" i="16"/>
  <c r="AP5" i="16"/>
  <c r="AO5" i="16"/>
  <c r="AN5" i="16"/>
  <c r="AM5" i="16"/>
  <c r="AL5" i="16"/>
  <c r="AK5" i="16"/>
  <c r="AJ5" i="16"/>
  <c r="AI5" i="16"/>
  <c r="AH5" i="16"/>
  <c r="AG5" i="16"/>
  <c r="AF5" i="16"/>
  <c r="AE5" i="16"/>
  <c r="AD5" i="16"/>
  <c r="AC5" i="16"/>
  <c r="AB5" i="16"/>
  <c r="BA4" i="16"/>
  <c r="AZ4" i="16"/>
  <c r="AZ9" i="16" s="1"/>
  <c r="AY4" i="16"/>
  <c r="AX4" i="16"/>
  <c r="AW4" i="16"/>
  <c r="AV4" i="16"/>
  <c r="AV9" i="16" s="1"/>
  <c r="AU4" i="16"/>
  <c r="AT4" i="16"/>
  <c r="AS4" i="16"/>
  <c r="AR4" i="16"/>
  <c r="AR9" i="16" s="1"/>
  <c r="AQ4" i="16"/>
  <c r="AP4" i="16"/>
  <c r="AO4" i="16"/>
  <c r="AN4" i="16"/>
  <c r="AN9" i="16" s="1"/>
  <c r="AM4" i="16"/>
  <c r="AL4" i="16"/>
  <c r="AK4" i="16"/>
  <c r="AK9" i="16" s="1"/>
  <c r="AJ4" i="16"/>
  <c r="AJ9" i="16" s="1"/>
  <c r="AI4" i="16"/>
  <c r="AH4" i="16"/>
  <c r="AG4" i="16"/>
  <c r="AG9" i="16" s="1"/>
  <c r="AF4" i="16"/>
  <c r="AF9" i="16" s="1"/>
  <c r="AE4" i="16"/>
  <c r="AD4" i="16"/>
  <c r="AC4" i="16"/>
  <c r="AC9" i="16" s="1"/>
  <c r="AB4" i="16"/>
  <c r="AB9" i="16" s="1"/>
  <c r="AW9" i="16" l="1"/>
  <c r="AO9" i="16"/>
  <c r="BA9" i="16"/>
  <c r="AS9" i="16"/>
  <c r="AD8" i="16"/>
  <c r="AD9" i="16" s="1"/>
  <c r="AH8" i="16"/>
  <c r="AH9" i="16" s="1"/>
  <c r="AL8" i="16"/>
  <c r="AL9" i="16" s="1"/>
  <c r="AP8" i="16"/>
  <c r="AP9" i="16" s="1"/>
  <c r="AT8" i="16"/>
  <c r="AT9" i="16" s="1"/>
  <c r="AX8" i="16"/>
  <c r="AX9" i="16" s="1"/>
  <c r="D9" i="16"/>
  <c r="H9" i="16"/>
  <c r="N9" i="16"/>
  <c r="R9" i="16"/>
  <c r="V9" i="16"/>
  <c r="Z9" i="16"/>
  <c r="AE8" i="16"/>
  <c r="AE9" i="16" s="1"/>
  <c r="AI8" i="16"/>
  <c r="AI9" i="16" s="1"/>
  <c r="AM8" i="16"/>
  <c r="AM9" i="16" s="1"/>
  <c r="AQ8" i="16"/>
  <c r="AQ9" i="16" s="1"/>
  <c r="AU8" i="16"/>
  <c r="AU9" i="16" s="1"/>
  <c r="AY8" i="16"/>
  <c r="AY9" i="16" s="1"/>
  <c r="E9" i="16"/>
  <c r="I9" i="16"/>
  <c r="O9" i="16"/>
  <c r="S9" i="16"/>
  <c r="W9" i="16"/>
  <c r="AA9" i="16"/>
  <c r="W16" i="23"/>
  <c r="V16" i="23"/>
  <c r="L17" i="23" l="1"/>
  <c r="G16" i="23"/>
  <c r="Q6" i="18" l="1"/>
  <c r="R6" i="18"/>
  <c r="P6" i="18"/>
  <c r="O7" i="18"/>
  <c r="O6" i="18"/>
  <c r="O4" i="18"/>
  <c r="F19" i="20" l="1"/>
  <c r="AU5" i="13" l="1"/>
  <c r="AT6" i="13"/>
  <c r="AT5" i="13"/>
  <c r="AU5" i="12"/>
  <c r="AT6" i="12"/>
  <c r="AT5" i="12"/>
  <c r="BB6" i="11"/>
  <c r="BB5" i="11"/>
  <c r="BB4" i="11"/>
  <c r="BB3" i="11"/>
  <c r="BA6" i="11"/>
  <c r="BA5" i="11"/>
  <c r="BA4" i="11"/>
  <c r="BA3" i="11"/>
  <c r="AN6" i="10"/>
  <c r="AN5" i="10"/>
  <c r="AM7" i="10"/>
  <c r="AM6" i="10"/>
  <c r="AM5" i="10"/>
  <c r="AT6" i="9"/>
  <c r="AT5" i="9"/>
  <c r="AS7" i="9"/>
  <c r="AS6" i="9"/>
  <c r="AS5" i="9"/>
  <c r="AR7" i="8"/>
  <c r="AR6" i="8"/>
  <c r="AR5" i="8"/>
  <c r="AQ7" i="8"/>
  <c r="AQ6" i="8"/>
  <c r="AQ5" i="8"/>
  <c r="BS13" i="2"/>
  <c r="BS12" i="2"/>
  <c r="BS11" i="2"/>
  <c r="BS10" i="2"/>
  <c r="BS9" i="2"/>
  <c r="BS8" i="2"/>
  <c r="BS7" i="2"/>
  <c r="BS6" i="2"/>
  <c r="BS5" i="2"/>
  <c r="BS4" i="2"/>
  <c r="BR13" i="2"/>
  <c r="BR12" i="2"/>
  <c r="BR11" i="2"/>
  <c r="BR10" i="2"/>
  <c r="BR9" i="2"/>
  <c r="BR8" i="2"/>
  <c r="BR7" i="2"/>
  <c r="BR6" i="2"/>
  <c r="BR5" i="2"/>
  <c r="BR4" i="2"/>
  <c r="AT7" i="7"/>
  <c r="AT6" i="7"/>
  <c r="AT5" i="7"/>
  <c r="AS8" i="7"/>
  <c r="AS7" i="7"/>
  <c r="AS6" i="7"/>
  <c r="AS5" i="7"/>
  <c r="AU7" i="6"/>
  <c r="AU6" i="6"/>
  <c r="AU5" i="6"/>
  <c r="AT8" i="6"/>
  <c r="AT7" i="6"/>
  <c r="AT6" i="6"/>
  <c r="AT5" i="6"/>
  <c r="AT11" i="5"/>
  <c r="AT10" i="5"/>
  <c r="AT9" i="5"/>
  <c r="AT8" i="5"/>
  <c r="AT7" i="5"/>
  <c r="AT6" i="5"/>
  <c r="AS11" i="5"/>
  <c r="AS10" i="5"/>
  <c r="AS9" i="5"/>
  <c r="AS8" i="5"/>
  <c r="AS7" i="5"/>
  <c r="AS6" i="5"/>
  <c r="AS7" i="3"/>
  <c r="AR7" i="4"/>
  <c r="AS6" i="4"/>
  <c r="AR6" i="4"/>
  <c r="AS5" i="4"/>
  <c r="AR5" i="4"/>
  <c r="AS6" i="3"/>
  <c r="AS5" i="3"/>
  <c r="AT6" i="3"/>
  <c r="AT5" i="3"/>
  <c r="BS9" i="1" l="1"/>
  <c r="BS7" i="1"/>
  <c r="BS8" i="1"/>
  <c r="BS10" i="1"/>
  <c r="BS11" i="1"/>
  <c r="BS12" i="1"/>
  <c r="BS13" i="1"/>
  <c r="BS6" i="1"/>
  <c r="BU12" i="1"/>
  <c r="BT13" i="1"/>
  <c r="BQ13" i="1"/>
  <c r="BQ12" i="1"/>
  <c r="BQ11" i="1"/>
  <c r="BQ10" i="1"/>
  <c r="BQ7" i="1"/>
  <c r="BR11" i="1"/>
  <c r="BR8" i="1"/>
  <c r="BR13" i="1"/>
  <c r="BR12" i="1"/>
  <c r="BR10" i="1"/>
  <c r="BR9" i="1"/>
  <c r="BQ9" i="1"/>
  <c r="BR7" i="1"/>
  <c r="BQ8" i="1"/>
  <c r="BR6" i="1"/>
  <c r="BQ6" i="1"/>
  <c r="BR5" i="1"/>
  <c r="BQ5" i="1"/>
  <c r="AI15" i="11" l="1"/>
  <c r="G16" i="11"/>
  <c r="F77" i="2"/>
  <c r="AY35" i="2"/>
  <c r="G15" i="11" l="1"/>
  <c r="AI14" i="11"/>
  <c r="AY34" i="2" l="1"/>
  <c r="F76" i="2"/>
  <c r="K2" i="23" l="1"/>
  <c r="W4" i="23" l="1"/>
  <c r="W5" i="23"/>
  <c r="W6" i="23"/>
  <c r="W7" i="23"/>
  <c r="W8" i="23"/>
  <c r="W9" i="23"/>
  <c r="W10" i="23"/>
  <c r="W11" i="23"/>
  <c r="W12" i="23"/>
  <c r="W13" i="23"/>
  <c r="W14" i="23"/>
  <c r="W3" i="23"/>
  <c r="W2" i="23"/>
  <c r="M3" i="23"/>
  <c r="M4" i="23"/>
  <c r="M5" i="23"/>
  <c r="M6" i="23"/>
  <c r="M7" i="23"/>
  <c r="M8" i="23"/>
  <c r="M9" i="23"/>
  <c r="M10" i="23"/>
  <c r="M11" i="23"/>
  <c r="M12" i="23"/>
  <c r="M13" i="23"/>
  <c r="M14" i="23"/>
  <c r="M2" i="23"/>
  <c r="K3" i="23"/>
  <c r="K4" i="23"/>
  <c r="K5" i="23"/>
  <c r="K6" i="23"/>
  <c r="K7" i="23"/>
  <c r="K8" i="23"/>
  <c r="K9" i="23"/>
  <c r="K10" i="23"/>
  <c r="K11" i="23"/>
  <c r="K12" i="23"/>
  <c r="K13" i="23"/>
  <c r="K14" i="23"/>
  <c r="L3" i="23"/>
  <c r="L4" i="23"/>
  <c r="L5" i="23"/>
  <c r="L6" i="23"/>
  <c r="L7" i="23"/>
  <c r="L8" i="23"/>
  <c r="L9" i="23"/>
  <c r="L10" i="23"/>
  <c r="L11" i="23"/>
  <c r="L12" i="23"/>
  <c r="L13" i="23"/>
  <c r="L14" i="23"/>
  <c r="L2" i="23"/>
  <c r="R2" i="23"/>
  <c r="R3" i="23"/>
  <c r="R4" i="23"/>
  <c r="R5" i="23"/>
  <c r="R6" i="23"/>
  <c r="R7" i="23"/>
  <c r="R8" i="23"/>
  <c r="R9" i="23"/>
  <c r="R10" i="23"/>
  <c r="R11" i="23"/>
  <c r="R12" i="23"/>
  <c r="R13" i="23"/>
  <c r="R14" i="23"/>
  <c r="V14" i="23"/>
  <c r="V13" i="23"/>
  <c r="V12" i="23"/>
  <c r="V11" i="23"/>
  <c r="V10" i="23"/>
  <c r="V9" i="23"/>
  <c r="V8" i="23"/>
  <c r="V7" i="23"/>
  <c r="V6" i="23"/>
  <c r="V5" i="23"/>
  <c r="V4" i="23"/>
  <c r="V3" i="23"/>
  <c r="V2" i="23"/>
  <c r="O3" i="23"/>
  <c r="P3" i="23"/>
  <c r="Q3" i="23"/>
  <c r="S3" i="23"/>
  <c r="T3" i="23"/>
  <c r="U3" i="23"/>
  <c r="O4" i="23"/>
  <c r="P4" i="23"/>
  <c r="Q4" i="23"/>
  <c r="S4" i="23"/>
  <c r="T4" i="23"/>
  <c r="U4" i="23"/>
  <c r="O5" i="23"/>
  <c r="P5" i="23"/>
  <c r="Q5" i="23"/>
  <c r="S5" i="23"/>
  <c r="T5" i="23"/>
  <c r="U5" i="23"/>
  <c r="O6" i="23"/>
  <c r="P6" i="23"/>
  <c r="Q6" i="23"/>
  <c r="S6" i="23"/>
  <c r="T6" i="23"/>
  <c r="U6" i="23"/>
  <c r="O7" i="23"/>
  <c r="P7" i="23"/>
  <c r="Q7" i="23"/>
  <c r="S7" i="23"/>
  <c r="T7" i="23"/>
  <c r="U7" i="23"/>
  <c r="O8" i="23"/>
  <c r="P8" i="23"/>
  <c r="Q8" i="23"/>
  <c r="S8" i="23"/>
  <c r="T8" i="23"/>
  <c r="U8" i="23"/>
  <c r="Q9" i="23"/>
  <c r="S9" i="23"/>
  <c r="T9" i="23"/>
  <c r="U9" i="23"/>
  <c r="Q10" i="23"/>
  <c r="S10" i="23"/>
  <c r="T10" i="23"/>
  <c r="U10" i="23"/>
  <c r="O11" i="23"/>
  <c r="P11" i="23"/>
  <c r="Q11" i="23"/>
  <c r="S11" i="23"/>
  <c r="T11" i="23"/>
  <c r="U11" i="23"/>
  <c r="O12" i="23"/>
  <c r="P12" i="23"/>
  <c r="Q12" i="23"/>
  <c r="S12" i="23"/>
  <c r="T12" i="23"/>
  <c r="U12" i="23"/>
  <c r="O13" i="23"/>
  <c r="P13" i="23"/>
  <c r="Q13" i="23"/>
  <c r="S13" i="23"/>
  <c r="T13" i="23"/>
  <c r="U13" i="23"/>
  <c r="O14" i="23"/>
  <c r="P14" i="23"/>
  <c r="Q14" i="23"/>
  <c r="S14" i="23"/>
  <c r="T14" i="23"/>
  <c r="U14" i="23"/>
  <c r="P2" i="23"/>
  <c r="Q2" i="23"/>
  <c r="S2" i="23"/>
  <c r="T2" i="23"/>
  <c r="U2" i="23"/>
  <c r="O2" i="23"/>
  <c r="I15" i="23"/>
  <c r="D17" i="23"/>
  <c r="D16" i="23"/>
  <c r="D15" i="23"/>
  <c r="J5" i="21"/>
  <c r="J10" i="21"/>
  <c r="H5" i="21"/>
  <c r="H10" i="21"/>
  <c r="C4" i="21"/>
  <c r="H4" i="21"/>
  <c r="BO14" i="2"/>
  <c r="BO15" i="2" s="1"/>
  <c r="BJ14" i="2"/>
  <c r="AR67" i="2"/>
  <c r="AQ67" i="2"/>
  <c r="AP67" i="2"/>
  <c r="AO67" i="2"/>
  <c r="AN67" i="2"/>
  <c r="AM67" i="2"/>
  <c r="AR66" i="2"/>
  <c r="AN66" i="2"/>
  <c r="AO66" i="2"/>
  <c r="AP66" i="2"/>
  <c r="AQ66" i="2"/>
  <c r="AM66" i="2"/>
  <c r="AR75" i="2"/>
  <c r="AQ75" i="2"/>
  <c r="AP75" i="2"/>
  <c r="AO75" i="2"/>
  <c r="AN75" i="2"/>
  <c r="AM75" i="2"/>
  <c r="AR74" i="2"/>
  <c r="AQ74" i="2"/>
  <c r="AP74" i="2"/>
  <c r="AO74" i="2"/>
  <c r="AN74" i="2"/>
  <c r="AM74" i="2"/>
  <c r="AR73" i="2"/>
  <c r="AQ73" i="2"/>
  <c r="AP73" i="2"/>
  <c r="AO73" i="2"/>
  <c r="AN73" i="2"/>
  <c r="AM73" i="2"/>
  <c r="AR72" i="2"/>
  <c r="AQ72" i="2"/>
  <c r="AP72" i="2"/>
  <c r="AO72" i="2"/>
  <c r="AN72" i="2"/>
  <c r="AM72" i="2"/>
  <c r="AR71" i="2"/>
  <c r="AQ71" i="2"/>
  <c r="AP71" i="2"/>
  <c r="AO71" i="2"/>
  <c r="AN71" i="2"/>
  <c r="AM71" i="2"/>
  <c r="AR70" i="2"/>
  <c r="AQ70" i="2"/>
  <c r="AP70" i="2"/>
  <c r="AO70" i="2"/>
  <c r="AN70" i="2"/>
  <c r="AM70" i="2"/>
  <c r="AR69" i="2"/>
  <c r="AQ69" i="2"/>
  <c r="AP69" i="2"/>
  <c r="AO69" i="2"/>
  <c r="AN69" i="2"/>
  <c r="AM69" i="2"/>
  <c r="AR68" i="2"/>
  <c r="AQ68" i="2"/>
  <c r="AP68" i="2"/>
  <c r="AO68" i="2"/>
  <c r="AN68" i="2"/>
  <c r="AM68" i="2"/>
  <c r="G7" i="2"/>
  <c r="F7" i="2"/>
  <c r="G8" i="2"/>
  <c r="G6" i="2"/>
  <c r="N75" i="2"/>
  <c r="M75" i="2"/>
  <c r="L75" i="2"/>
  <c r="K75" i="2"/>
  <c r="J75" i="2"/>
  <c r="I75" i="2"/>
  <c r="N74" i="2"/>
  <c r="M74" i="2"/>
  <c r="L74" i="2"/>
  <c r="K74" i="2"/>
  <c r="J74" i="2"/>
  <c r="I74" i="2"/>
  <c r="N73" i="2"/>
  <c r="M73" i="2"/>
  <c r="L73" i="2"/>
  <c r="K73" i="2"/>
  <c r="J73" i="2"/>
  <c r="I73" i="2"/>
  <c r="N72" i="2"/>
  <c r="M72" i="2"/>
  <c r="L72" i="2"/>
  <c r="K72" i="2"/>
  <c r="J72" i="2"/>
  <c r="I72" i="2"/>
  <c r="N71" i="2"/>
  <c r="M71" i="2"/>
  <c r="L71" i="2"/>
  <c r="K71" i="2"/>
  <c r="J71" i="2"/>
  <c r="I71" i="2"/>
  <c r="N70" i="2"/>
  <c r="M70" i="2"/>
  <c r="L70" i="2"/>
  <c r="K70" i="2"/>
  <c r="J70" i="2"/>
  <c r="I70" i="2"/>
  <c r="AR41" i="1"/>
  <c r="AQ41" i="1"/>
  <c r="AP41" i="1"/>
  <c r="AO41" i="1"/>
  <c r="AN41" i="1"/>
  <c r="AM41" i="1"/>
  <c r="AR40" i="1"/>
  <c r="AQ40" i="1"/>
  <c r="AP40" i="1"/>
  <c r="AO40" i="1"/>
  <c r="AN40" i="1"/>
  <c r="AM40" i="1"/>
  <c r="AR39" i="1"/>
  <c r="AQ39" i="1"/>
  <c r="AP39" i="1"/>
  <c r="AO39" i="1"/>
  <c r="AN39" i="1"/>
  <c r="AM39" i="1"/>
  <c r="AR38" i="1"/>
  <c r="AQ38" i="1"/>
  <c r="AP38" i="1"/>
  <c r="AO38" i="1"/>
  <c r="AN38" i="1"/>
  <c r="AM38" i="1"/>
  <c r="AR37" i="1"/>
  <c r="AQ37" i="1"/>
  <c r="AP37" i="1"/>
  <c r="AO37" i="1"/>
  <c r="AN37" i="1"/>
  <c r="AM37" i="1"/>
  <c r="AR36" i="1"/>
  <c r="AQ36" i="1"/>
  <c r="AP36" i="1"/>
  <c r="AO36" i="1"/>
  <c r="AN36" i="1"/>
  <c r="AM36" i="1"/>
  <c r="AR35" i="1"/>
  <c r="AQ35" i="1"/>
  <c r="AP35" i="1"/>
  <c r="AO35" i="1"/>
  <c r="AN35" i="1"/>
  <c r="AM35" i="1"/>
  <c r="AR34" i="1"/>
  <c r="AQ34" i="1"/>
  <c r="AP34" i="1"/>
  <c r="AO34" i="1"/>
  <c r="AN34" i="1"/>
  <c r="AM34" i="1"/>
  <c r="AR33" i="1"/>
  <c r="AQ33" i="1"/>
  <c r="AP33" i="1"/>
  <c r="AO33" i="1"/>
  <c r="AN33" i="1"/>
  <c r="AM33" i="1"/>
  <c r="N41" i="1"/>
  <c r="M41" i="1"/>
  <c r="L41" i="1"/>
  <c r="K41" i="1"/>
  <c r="J41" i="1"/>
  <c r="I41" i="1"/>
  <c r="N40" i="1"/>
  <c r="M40" i="1"/>
  <c r="L40" i="1"/>
  <c r="K40" i="1"/>
  <c r="J40" i="1"/>
  <c r="I40" i="1"/>
  <c r="N39" i="1"/>
  <c r="M39" i="1"/>
  <c r="L39" i="1"/>
  <c r="K39" i="1"/>
  <c r="J39" i="1"/>
  <c r="I39" i="1"/>
  <c r="N38" i="1"/>
  <c r="M38" i="1"/>
  <c r="L38" i="1"/>
  <c r="K38" i="1"/>
  <c r="J38" i="1"/>
  <c r="I38" i="1"/>
  <c r="N37" i="1"/>
  <c r="M37" i="1"/>
  <c r="L37" i="1"/>
  <c r="K37" i="1"/>
  <c r="J37" i="1"/>
  <c r="I37" i="1"/>
  <c r="N36" i="1"/>
  <c r="M36" i="1"/>
  <c r="L36" i="1"/>
  <c r="K36" i="1"/>
  <c r="J36" i="1"/>
  <c r="I36" i="1"/>
  <c r="N35" i="1"/>
  <c r="M35" i="1"/>
  <c r="L35" i="1"/>
  <c r="K35" i="1"/>
  <c r="J35" i="1"/>
  <c r="I35" i="1"/>
  <c r="N34" i="1"/>
  <c r="M34" i="1"/>
  <c r="L34" i="1"/>
  <c r="K34" i="1"/>
  <c r="J34" i="1"/>
  <c r="I34" i="1"/>
  <c r="N33" i="1"/>
  <c r="M33" i="1"/>
  <c r="L33" i="1"/>
  <c r="K33" i="1"/>
  <c r="J33" i="1"/>
  <c r="I33" i="1"/>
  <c r="V15" i="23" l="1"/>
  <c r="BA37" i="1"/>
  <c r="BA9" i="1" s="1"/>
  <c r="BA41" i="1"/>
  <c r="BF36" i="1"/>
  <c r="BF8" i="1" s="1"/>
  <c r="BF40" i="1"/>
  <c r="BF12" i="1" s="1"/>
  <c r="BA33" i="1"/>
  <c r="BA5" i="1" s="1"/>
  <c r="BA34" i="1"/>
  <c r="BA6" i="1" s="1"/>
  <c r="BA35" i="1"/>
  <c r="BA7" i="1" s="1"/>
  <c r="BA36" i="1"/>
  <c r="BA8" i="1" s="1"/>
  <c r="BI9" i="1" s="1"/>
  <c r="BA38" i="1"/>
  <c r="BA39" i="1"/>
  <c r="BA40" i="1"/>
  <c r="BF33" i="1"/>
  <c r="BF5" i="1" s="1"/>
  <c r="BN6" i="1" s="1"/>
  <c r="BF34" i="1"/>
  <c r="BF6" i="1" s="1"/>
  <c r="BF35" i="1"/>
  <c r="BF7" i="1" s="1"/>
  <c r="BF37" i="1"/>
  <c r="BF9" i="1" s="1"/>
  <c r="BF38" i="1"/>
  <c r="BF10" i="1" s="1"/>
  <c r="BF39" i="1"/>
  <c r="BF11" i="1" s="1"/>
  <c r="BF41" i="1"/>
  <c r="BF13" i="1" s="1"/>
  <c r="BN7" i="1"/>
  <c r="BN8" i="1"/>
  <c r="BI7" i="1"/>
  <c r="BI6" i="1"/>
  <c r="BA73" i="2"/>
  <c r="BB11" i="2" s="1"/>
  <c r="BG71" i="2"/>
  <c r="BG9" i="2" s="1"/>
  <c r="BG75" i="2"/>
  <c r="BG13" i="2" s="1"/>
  <c r="BG67" i="2"/>
  <c r="BG5" i="2" s="1"/>
  <c r="BA70" i="2"/>
  <c r="BB8" i="2" s="1"/>
  <c r="BA72" i="2"/>
  <c r="BB10" i="2" s="1"/>
  <c r="BJ10" i="2" s="1"/>
  <c r="BA74" i="2"/>
  <c r="BB12" i="2" s="1"/>
  <c r="BJ12" i="2" s="1"/>
  <c r="BG68" i="2"/>
  <c r="BG6" i="2" s="1"/>
  <c r="BG70" i="2"/>
  <c r="BG8" i="2" s="1"/>
  <c r="BG72" i="2"/>
  <c r="BG10" i="2" s="1"/>
  <c r="BO10" i="2" s="1"/>
  <c r="BG74" i="2"/>
  <c r="BG12" i="2" s="1"/>
  <c r="BO12" i="2" s="1"/>
  <c r="BG66" i="2"/>
  <c r="BG4" i="2" s="1"/>
  <c r="BA71" i="2"/>
  <c r="BB9" i="2" s="1"/>
  <c r="BJ9" i="2" s="1"/>
  <c r="BA75" i="2"/>
  <c r="BB13" i="2" s="1"/>
  <c r="BG69" i="2"/>
  <c r="BG7" i="2" s="1"/>
  <c r="BO6" i="2" s="1"/>
  <c r="BG73" i="2"/>
  <c r="BG11" i="2" s="1"/>
  <c r="BN11" i="1" l="1"/>
  <c r="BN12" i="1"/>
  <c r="BN10" i="1"/>
  <c r="BI8" i="1"/>
  <c r="BN9" i="1"/>
  <c r="BN13" i="1"/>
  <c r="BO11" i="2"/>
  <c r="BG14" i="2"/>
  <c r="BO5" i="2"/>
  <c r="BO4" i="2"/>
  <c r="BO9" i="2"/>
  <c r="BO7" i="2"/>
  <c r="BO8" i="2"/>
  <c r="BJ8" i="2"/>
  <c r="BJ11" i="2"/>
  <c r="BN14" i="1" l="1"/>
  <c r="M15" i="23"/>
  <c r="K15" i="23"/>
  <c r="L15" i="23"/>
  <c r="W15" i="23"/>
  <c r="D4" i="21"/>
  <c r="C6" i="21"/>
  <c r="C7" i="21"/>
  <c r="C8" i="21"/>
  <c r="C9" i="21"/>
  <c r="E35" i="20"/>
  <c r="F35" i="20"/>
  <c r="G35" i="20"/>
  <c r="H35" i="20"/>
  <c r="H36" i="20" s="1"/>
  <c r="I35" i="20"/>
  <c r="J35" i="20"/>
  <c r="K35" i="20"/>
  <c r="L35" i="20"/>
  <c r="L36" i="20" s="1"/>
  <c r="M35" i="20"/>
  <c r="N35" i="20"/>
  <c r="O35" i="20"/>
  <c r="P35" i="20"/>
  <c r="P36" i="20" s="1"/>
  <c r="Q35" i="20"/>
  <c r="R35" i="20"/>
  <c r="S35" i="20"/>
  <c r="T35" i="20"/>
  <c r="T36" i="20" s="1"/>
  <c r="U35" i="20"/>
  <c r="V35" i="20"/>
  <c r="W35" i="20"/>
  <c r="X35" i="20"/>
  <c r="Y35" i="20"/>
  <c r="Z35" i="20"/>
  <c r="AA35" i="20"/>
  <c r="AB35" i="20"/>
  <c r="AC35" i="20"/>
  <c r="AD35" i="20"/>
  <c r="AE35" i="20"/>
  <c r="AF35" i="20"/>
  <c r="AF36" i="20" s="1"/>
  <c r="AG35" i="20"/>
  <c r="AH35" i="20"/>
  <c r="AI35" i="20"/>
  <c r="AJ35" i="20"/>
  <c r="AK35" i="20"/>
  <c r="AL35" i="20"/>
  <c r="AM35" i="20"/>
  <c r="AN35" i="20"/>
  <c r="AO35" i="20"/>
  <c r="AP35" i="20"/>
  <c r="D35" i="20"/>
  <c r="AO36" i="20"/>
  <c r="AM36" i="20"/>
  <c r="AL36" i="20"/>
  <c r="AK36" i="20"/>
  <c r="AI36" i="20"/>
  <c r="AD36" i="20"/>
  <c r="AC36" i="20"/>
  <c r="AB36" i="20"/>
  <c r="AA36" i="20"/>
  <c r="Z36" i="20"/>
  <c r="Y36" i="20"/>
  <c r="W36" i="20"/>
  <c r="U36" i="20"/>
  <c r="S36" i="20"/>
  <c r="R36" i="20"/>
  <c r="Q36" i="20"/>
  <c r="O36" i="20"/>
  <c r="N36" i="20"/>
  <c r="M36" i="20"/>
  <c r="K36" i="20"/>
  <c r="J36" i="20"/>
  <c r="E36" i="20"/>
  <c r="C34" i="20"/>
  <c r="AJ32" i="20"/>
  <c r="AH32" i="20"/>
  <c r="AH36" i="20" s="1"/>
  <c r="AP30" i="20"/>
  <c r="AP36" i="20" s="1"/>
  <c r="AN30" i="20"/>
  <c r="AG30" i="20"/>
  <c r="AG36" i="20" s="1"/>
  <c r="AE30" i="20"/>
  <c r="AE36" i="20" s="1"/>
  <c r="X30" i="20"/>
  <c r="V30" i="20"/>
  <c r="V36" i="20" s="1"/>
  <c r="I30" i="20"/>
  <c r="I36" i="20" s="1"/>
  <c r="G30" i="20"/>
  <c r="G36" i="20" s="1"/>
  <c r="F30" i="20"/>
  <c r="F36" i="20" s="1"/>
  <c r="D30" i="20"/>
  <c r="AJ36" i="20" l="1"/>
  <c r="AN36" i="20"/>
  <c r="X36" i="20"/>
  <c r="D36" i="20"/>
  <c r="C17" i="23" l="1"/>
  <c r="J15" i="23" l="1"/>
  <c r="J16" i="23" s="1"/>
  <c r="E15" i="23"/>
  <c r="E16" i="23" s="1"/>
  <c r="E17" i="23" s="1"/>
  <c r="F15" i="23"/>
  <c r="G15" i="23"/>
  <c r="H15" i="23"/>
  <c r="C15" i="23"/>
  <c r="F16" i="23" l="1"/>
  <c r="F17" i="23" s="1"/>
  <c r="G17" i="23" s="1"/>
  <c r="H17" i="23" s="1"/>
  <c r="I17" i="23" s="1"/>
  <c r="J17" i="23" s="1"/>
  <c r="H16" i="23"/>
  <c r="I16" i="23"/>
  <c r="L18" i="23"/>
  <c r="M18" i="23" s="1"/>
  <c r="K17" i="18"/>
  <c r="H17" i="18"/>
  <c r="H19" i="18" s="1"/>
  <c r="I17" i="18"/>
  <c r="I19" i="18" s="1"/>
  <c r="J17" i="18"/>
  <c r="J19" i="18" s="1"/>
  <c r="G18" i="18"/>
  <c r="G20" i="18" s="1"/>
  <c r="H18" i="18"/>
  <c r="H20" i="18" s="1"/>
  <c r="I18" i="18"/>
  <c r="I20" i="18" s="1"/>
  <c r="J18" i="18"/>
  <c r="J20" i="18" s="1"/>
  <c r="F18" i="18"/>
  <c r="F20" i="18" s="1"/>
  <c r="G17" i="18"/>
  <c r="G19" i="18" s="1"/>
  <c r="F17" i="18"/>
  <c r="F19" i="18" s="1"/>
  <c r="E18" i="18"/>
  <c r="E20" i="18" s="1"/>
  <c r="E17" i="18"/>
  <c r="E19" i="18" s="1"/>
  <c r="D18" i="18"/>
  <c r="D20" i="18" s="1"/>
  <c r="D17" i="18"/>
  <c r="D19" i="18" s="1"/>
  <c r="M8" i="21"/>
  <c r="M17" i="23" l="1"/>
  <c r="L19" i="23"/>
  <c r="M19" i="23" s="1"/>
  <c r="D18" i="13"/>
  <c r="D17" i="13"/>
  <c r="N14" i="13"/>
  <c r="M14" i="13"/>
  <c r="L14" i="13"/>
  <c r="K14" i="13"/>
  <c r="J14" i="13"/>
  <c r="I14" i="13"/>
  <c r="N13" i="13"/>
  <c r="M13" i="13"/>
  <c r="L13" i="13"/>
  <c r="K13" i="13"/>
  <c r="J13" i="13"/>
  <c r="I13" i="13"/>
  <c r="AW3" i="11"/>
  <c r="AW4" i="11"/>
  <c r="AV4" i="11"/>
  <c r="AR7" i="11"/>
  <c r="AR3" i="11"/>
  <c r="AR4" i="11"/>
  <c r="AR5" i="11"/>
  <c r="AL7" i="11"/>
  <c r="AL4" i="11"/>
  <c r="AL5" i="11"/>
  <c r="AL3" i="11"/>
  <c r="Z20" i="11"/>
  <c r="Y20" i="11"/>
  <c r="X20" i="11"/>
  <c r="W20" i="11"/>
  <c r="V20" i="11"/>
  <c r="U20" i="11"/>
  <c r="Z19" i="11"/>
  <c r="Y19" i="11"/>
  <c r="X19" i="11"/>
  <c r="W19" i="11"/>
  <c r="V19" i="11"/>
  <c r="U19" i="11"/>
  <c r="Z18" i="11"/>
  <c r="Y18" i="11"/>
  <c r="X18" i="11"/>
  <c r="W18" i="11"/>
  <c r="V18" i="11"/>
  <c r="U18" i="11"/>
  <c r="AB18" i="11"/>
  <c r="AB19" i="11"/>
  <c r="AB20" i="11"/>
  <c r="D22" i="8" l="1"/>
  <c r="D21" i="8"/>
  <c r="D20" i="8"/>
  <c r="N17" i="8"/>
  <c r="M17" i="8"/>
  <c r="L17" i="8"/>
  <c r="K17" i="8"/>
  <c r="J17" i="8"/>
  <c r="I17" i="8"/>
  <c r="N16" i="8"/>
  <c r="M16" i="8"/>
  <c r="L16" i="8"/>
  <c r="K16" i="8"/>
  <c r="J16" i="8"/>
  <c r="I16" i="8"/>
  <c r="N15" i="8"/>
  <c r="M15" i="8"/>
  <c r="L15" i="8"/>
  <c r="K15" i="8"/>
  <c r="J15" i="8"/>
  <c r="I15" i="8"/>
  <c r="O6" i="21"/>
  <c r="L6" i="21"/>
  <c r="I6" i="21"/>
  <c r="I7" i="21"/>
  <c r="D6" i="21"/>
  <c r="D21" i="4"/>
  <c r="D22" i="4"/>
  <c r="D23" i="4"/>
  <c r="N17" i="4"/>
  <c r="M17" i="4"/>
  <c r="L17" i="4"/>
  <c r="K17" i="4"/>
  <c r="J17" i="4"/>
  <c r="I17" i="4"/>
  <c r="N16" i="4"/>
  <c r="M16" i="4"/>
  <c r="L16" i="4"/>
  <c r="K16" i="4"/>
  <c r="J16" i="4"/>
  <c r="I16" i="4"/>
  <c r="N15" i="4"/>
  <c r="M15" i="4"/>
  <c r="L15" i="4"/>
  <c r="K15" i="4"/>
  <c r="J15" i="4"/>
  <c r="I15" i="4"/>
  <c r="AN7" i="3"/>
  <c r="AN8" i="3" s="1"/>
  <c r="AI5" i="3"/>
  <c r="AI6" i="3"/>
  <c r="AI7" i="3"/>
  <c r="AI8" i="3"/>
  <c r="AH14" i="3"/>
  <c r="AH15" i="3"/>
  <c r="AH16" i="3"/>
  <c r="N16" i="3"/>
  <c r="M16" i="3"/>
  <c r="L16" i="3"/>
  <c r="K16" i="3"/>
  <c r="J16" i="3"/>
  <c r="I16" i="3"/>
  <c r="N15" i="3"/>
  <c r="M15" i="3"/>
  <c r="L15" i="3"/>
  <c r="K15" i="3"/>
  <c r="J15" i="3"/>
  <c r="I15" i="3"/>
  <c r="N14" i="3"/>
  <c r="M14" i="3"/>
  <c r="L14" i="3"/>
  <c r="K14" i="3"/>
  <c r="J14" i="3"/>
  <c r="I14" i="3"/>
  <c r="J9" i="2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BE34" i="1" l="1"/>
  <c r="BE6" i="1" s="1"/>
  <c r="BE38" i="1"/>
  <c r="BE10" i="1" s="1"/>
  <c r="BE40" i="1"/>
  <c r="BE12" i="1" s="1"/>
  <c r="BE36" i="1"/>
  <c r="BE8" i="1" s="1"/>
  <c r="BE33" i="1"/>
  <c r="BE5" i="1" s="1"/>
  <c r="BE35" i="1"/>
  <c r="BE7" i="1" s="1"/>
  <c r="BE37" i="1"/>
  <c r="BE9" i="1" s="1"/>
  <c r="BE39" i="1"/>
  <c r="BE11" i="1" s="1"/>
  <c r="BE41" i="1"/>
  <c r="D17" i="20" l="1"/>
  <c r="O9" i="21" l="1"/>
  <c r="O8" i="21"/>
  <c r="O7" i="21"/>
  <c r="O4" i="21"/>
  <c r="N9" i="21"/>
  <c r="N8" i="21"/>
  <c r="N7" i="21"/>
  <c r="N6" i="21"/>
  <c r="N4" i="21"/>
  <c r="M9" i="21"/>
  <c r="M7" i="21"/>
  <c r="M4" i="21"/>
  <c r="M6" i="21"/>
  <c r="L9" i="21"/>
  <c r="L8" i="21"/>
  <c r="L7" i="21"/>
  <c r="L4" i="21"/>
  <c r="K9" i="21"/>
  <c r="K8" i="21"/>
  <c r="K7" i="21"/>
  <c r="K6" i="21"/>
  <c r="K4" i="21"/>
  <c r="I9" i="21"/>
  <c r="I8" i="21"/>
  <c r="I4" i="21"/>
  <c r="G8" i="21"/>
  <c r="G9" i="21"/>
  <c r="G7" i="21"/>
  <c r="G6" i="21"/>
  <c r="G4" i="21"/>
  <c r="F8" i="21"/>
  <c r="F9" i="21"/>
  <c r="F7" i="21"/>
  <c r="F6" i="21"/>
  <c r="F4" i="21"/>
  <c r="E6" i="21"/>
  <c r="E7" i="21"/>
  <c r="E8" i="21"/>
  <c r="E9" i="21"/>
  <c r="E4" i="21"/>
  <c r="D9" i="21"/>
  <c r="D8" i="21"/>
  <c r="D7" i="21"/>
  <c r="H11" i="21"/>
  <c r="H9" i="21"/>
  <c r="H8" i="21"/>
  <c r="H7" i="21"/>
  <c r="H6" i="21"/>
  <c r="J11" i="21"/>
  <c r="J8" i="21"/>
  <c r="J7" i="21"/>
  <c r="J6" i="21"/>
  <c r="J4" i="21"/>
  <c r="AQ21" i="7"/>
  <c r="AO20" i="7"/>
  <c r="AO19" i="7"/>
  <c r="AO18" i="7"/>
  <c r="AQ20" i="7"/>
  <c r="AQ19" i="7"/>
  <c r="AQ18" i="7"/>
  <c r="AR19" i="6"/>
  <c r="AR18" i="6"/>
  <c r="AR17" i="6"/>
  <c r="AR16" i="6"/>
  <c r="AQ28" i="5"/>
  <c r="AQ27" i="5"/>
  <c r="AQ26" i="5"/>
  <c r="AQ25" i="5"/>
  <c r="AQ24" i="5"/>
  <c r="AQ23" i="5"/>
  <c r="BW27" i="2"/>
  <c r="BY27" i="2"/>
  <c r="BY26" i="2"/>
  <c r="BY25" i="2"/>
  <c r="BY24" i="2"/>
  <c r="BB20" i="1"/>
  <c r="BB23" i="1"/>
  <c r="BB22" i="1"/>
  <c r="BB21" i="1"/>
  <c r="BB19" i="1"/>
  <c r="BD19" i="1"/>
  <c r="BD20" i="1"/>
  <c r="BD21" i="1"/>
  <c r="BD22" i="1"/>
  <c r="BD23" i="1"/>
  <c r="BD24" i="1" l="1"/>
  <c r="F12" i="21"/>
  <c r="BY28" i="2"/>
  <c r="H12" i="21"/>
  <c r="C12" i="21"/>
  <c r="J12" i="21"/>
  <c r="O12" i="21"/>
  <c r="N12" i="21"/>
  <c r="M12" i="21"/>
  <c r="L12" i="21"/>
  <c r="K12" i="21"/>
  <c r="I12" i="21"/>
  <c r="G12" i="21"/>
  <c r="E12" i="21"/>
  <c r="D12" i="21"/>
  <c r="G26" i="16" l="1"/>
  <c r="H23" i="16"/>
  <c r="H24" i="16"/>
  <c r="F26" i="16" l="1"/>
  <c r="C26" i="16"/>
  <c r="B26" i="16"/>
  <c r="D16" i="16"/>
  <c r="H16" i="16" s="1"/>
  <c r="D15" i="16"/>
  <c r="H15" i="16" s="1"/>
  <c r="D21" i="16"/>
  <c r="H21" i="16" s="1"/>
  <c r="D18" i="16"/>
  <c r="H18" i="16" s="1"/>
  <c r="D22" i="16"/>
  <c r="H22" i="16" s="1"/>
  <c r="D12" i="16"/>
  <c r="H12" i="16" s="1"/>
  <c r="D17" i="16"/>
  <c r="H17" i="16" s="1"/>
  <c r="D14" i="16"/>
  <c r="H14" i="16" s="1"/>
  <c r="D19" i="16"/>
  <c r="H19" i="16" s="1"/>
  <c r="D20" i="16"/>
  <c r="H20" i="16" s="1"/>
  <c r="D13" i="16"/>
  <c r="H13" i="16" s="1"/>
  <c r="AJ68" i="2"/>
  <c r="H26" i="16" l="1"/>
  <c r="H27" i="16" s="1"/>
  <c r="D26" i="16"/>
  <c r="Q17" i="20" l="1"/>
  <c r="N17" i="20"/>
  <c r="K17" i="20"/>
  <c r="H17" i="20"/>
  <c r="E17" i="20"/>
  <c r="P17" i="20"/>
  <c r="M17" i="20"/>
  <c r="J17" i="20"/>
  <c r="G17" i="20"/>
  <c r="G19" i="20" s="1"/>
  <c r="F21" i="20" s="1"/>
  <c r="F17" i="20"/>
  <c r="I17" i="20"/>
  <c r="I19" i="20" s="1"/>
  <c r="I20" i="20" s="1"/>
  <c r="L17" i="20"/>
  <c r="O17" i="20"/>
  <c r="C17" i="20"/>
  <c r="M19" i="20" l="1"/>
  <c r="L21" i="20" s="1"/>
  <c r="K19" i="20"/>
  <c r="I22" i="20" s="1"/>
  <c r="O19" i="20"/>
  <c r="O20" i="20" s="1"/>
  <c r="Q19" i="20"/>
  <c r="O22" i="20" s="1"/>
  <c r="L19" i="20"/>
  <c r="L20" i="20" s="1"/>
  <c r="J19" i="20"/>
  <c r="I21" i="20" s="1"/>
  <c r="H19" i="20"/>
  <c r="F22" i="20" s="1"/>
  <c r="H18" i="20"/>
  <c r="F20" i="20"/>
  <c r="P19" i="20"/>
  <c r="O21" i="20" s="1"/>
  <c r="N19" i="20"/>
  <c r="L22" i="20" s="1"/>
  <c r="F18" i="20"/>
  <c r="G18" i="20"/>
  <c r="J18" i="20" s="1"/>
  <c r="M18" i="20" s="1"/>
  <c r="P18" i="20" s="1"/>
  <c r="G18" i="13"/>
  <c r="G17" i="13"/>
  <c r="F18" i="13"/>
  <c r="F17" i="13"/>
  <c r="E18" i="13"/>
  <c r="E17" i="13"/>
  <c r="C18" i="13"/>
  <c r="C17" i="13"/>
  <c r="G16" i="13"/>
  <c r="F16" i="13"/>
  <c r="E16" i="13"/>
  <c r="C16" i="13"/>
  <c r="G18" i="12"/>
  <c r="G17" i="12"/>
  <c r="F18" i="12"/>
  <c r="F17" i="12"/>
  <c r="E18" i="12"/>
  <c r="E17" i="12"/>
  <c r="D18" i="12"/>
  <c r="D17" i="12"/>
  <c r="C18" i="12"/>
  <c r="C17" i="12"/>
  <c r="G16" i="12"/>
  <c r="F16" i="12"/>
  <c r="E16" i="12"/>
  <c r="D16" i="12"/>
  <c r="C16" i="12"/>
  <c r="G24" i="11"/>
  <c r="G23" i="11"/>
  <c r="F25" i="11"/>
  <c r="G25" i="11" s="1"/>
  <c r="F24" i="11"/>
  <c r="F23" i="11"/>
  <c r="E25" i="11"/>
  <c r="E24" i="11"/>
  <c r="E23" i="11"/>
  <c r="D25" i="11"/>
  <c r="D24" i="11"/>
  <c r="D23" i="11"/>
  <c r="D22" i="11"/>
  <c r="G22" i="11"/>
  <c r="F22" i="11"/>
  <c r="E22" i="11"/>
  <c r="F22" i="10"/>
  <c r="F21" i="10"/>
  <c r="F20" i="10"/>
  <c r="E22" i="10"/>
  <c r="E21" i="10"/>
  <c r="E20" i="10"/>
  <c r="D22" i="10"/>
  <c r="D21" i="10"/>
  <c r="D20" i="10"/>
  <c r="C22" i="10"/>
  <c r="C21" i="10"/>
  <c r="C20" i="10"/>
  <c r="F19" i="10"/>
  <c r="E19" i="10"/>
  <c r="D19" i="10"/>
  <c r="C19" i="10"/>
  <c r="G22" i="9"/>
  <c r="G21" i="9"/>
  <c r="G20" i="9"/>
  <c r="G19" i="9"/>
  <c r="F22" i="9"/>
  <c r="F21" i="9"/>
  <c r="F20" i="9"/>
  <c r="F19" i="9"/>
  <c r="E21" i="9"/>
  <c r="E20" i="9"/>
  <c r="E19" i="9"/>
  <c r="D21" i="9"/>
  <c r="D20" i="9"/>
  <c r="D19" i="9"/>
  <c r="C22" i="9"/>
  <c r="C21" i="9"/>
  <c r="C20" i="9"/>
  <c r="C19" i="9"/>
  <c r="G22" i="8"/>
  <c r="G21" i="8"/>
  <c r="G20" i="8"/>
  <c r="G19" i="8"/>
  <c r="F22" i="8"/>
  <c r="F21" i="8"/>
  <c r="F20" i="8"/>
  <c r="F19" i="8"/>
  <c r="E22" i="8"/>
  <c r="E21" i="8"/>
  <c r="E20" i="8"/>
  <c r="E19" i="8"/>
  <c r="C22" i="8"/>
  <c r="C21" i="8"/>
  <c r="C20" i="8"/>
  <c r="C19" i="8"/>
  <c r="G45" i="1"/>
  <c r="G44" i="1"/>
  <c r="F45" i="1"/>
  <c r="F44" i="1"/>
  <c r="D46" i="1"/>
  <c r="E46" i="1" s="1"/>
  <c r="F46" i="1" s="1"/>
  <c r="G46" i="1" s="1"/>
  <c r="E45" i="1"/>
  <c r="E44" i="1"/>
  <c r="D45" i="1"/>
  <c r="D44" i="1"/>
  <c r="C45" i="1"/>
  <c r="C44" i="1"/>
  <c r="G43" i="1"/>
  <c r="F43" i="1"/>
  <c r="E43" i="1"/>
  <c r="D43" i="1"/>
  <c r="C43" i="1"/>
  <c r="K8" i="2"/>
  <c r="L8" i="2" s="1"/>
  <c r="K7" i="2"/>
  <c r="K6" i="2"/>
  <c r="J8" i="2"/>
  <c r="J7" i="2"/>
  <c r="J6" i="2"/>
  <c r="I8" i="2"/>
  <c r="I7" i="2"/>
  <c r="I6" i="2"/>
  <c r="H8" i="2"/>
  <c r="H7" i="2"/>
  <c r="H6" i="2"/>
  <c r="F8" i="2"/>
  <c r="F6" i="2"/>
  <c r="K5" i="2"/>
  <c r="J5" i="2"/>
  <c r="I5" i="2"/>
  <c r="H5" i="2"/>
  <c r="F5" i="2"/>
  <c r="G26" i="7"/>
  <c r="G25" i="7"/>
  <c r="G24" i="7"/>
  <c r="F26" i="7"/>
  <c r="F25" i="7"/>
  <c r="F24" i="7"/>
  <c r="E26" i="7"/>
  <c r="E25" i="7"/>
  <c r="E24" i="7"/>
  <c r="D26" i="7"/>
  <c r="D25" i="7"/>
  <c r="D24" i="7"/>
  <c r="C26" i="7"/>
  <c r="C25" i="7"/>
  <c r="C24" i="7"/>
  <c r="G23" i="7"/>
  <c r="F23" i="7"/>
  <c r="E23" i="7"/>
  <c r="D23" i="7"/>
  <c r="C23" i="7"/>
  <c r="G26" i="6"/>
  <c r="G25" i="6"/>
  <c r="G24" i="6"/>
  <c r="F26" i="6"/>
  <c r="F25" i="6"/>
  <c r="F24" i="6"/>
  <c r="E25" i="6"/>
  <c r="D25" i="6"/>
  <c r="E24" i="6"/>
  <c r="D24" i="6"/>
  <c r="C25" i="6"/>
  <c r="C24" i="6"/>
  <c r="G23" i="6"/>
  <c r="F23" i="6"/>
  <c r="E23" i="6"/>
  <c r="D23" i="6"/>
  <c r="C23" i="6"/>
  <c r="G36" i="5"/>
  <c r="G35" i="5"/>
  <c r="G34" i="5"/>
  <c r="F36" i="5"/>
  <c r="F35" i="5"/>
  <c r="F34" i="5"/>
  <c r="E36" i="5"/>
  <c r="E35" i="5"/>
  <c r="E34" i="5"/>
  <c r="D36" i="5"/>
  <c r="D35" i="5"/>
  <c r="D34" i="5"/>
  <c r="C36" i="5"/>
  <c r="C35" i="5"/>
  <c r="C34" i="5"/>
  <c r="F33" i="5"/>
  <c r="G33" i="5"/>
  <c r="E33" i="5"/>
  <c r="D33" i="5"/>
  <c r="C33" i="5"/>
  <c r="G22" i="4"/>
  <c r="G21" i="4"/>
  <c r="G23" i="4"/>
  <c r="F23" i="4"/>
  <c r="F22" i="4"/>
  <c r="F21" i="4"/>
  <c r="E23" i="4"/>
  <c r="E22" i="4"/>
  <c r="E21" i="4"/>
  <c r="C23" i="4"/>
  <c r="C22" i="4"/>
  <c r="C21" i="4"/>
  <c r="G20" i="4"/>
  <c r="F20" i="4"/>
  <c r="E20" i="4"/>
  <c r="C20" i="4"/>
  <c r="F21" i="3"/>
  <c r="F20" i="3"/>
  <c r="F19" i="3"/>
  <c r="F18" i="3"/>
  <c r="E20" i="3"/>
  <c r="E19" i="3"/>
  <c r="D20" i="3"/>
  <c r="D19" i="3"/>
  <c r="E18" i="3"/>
  <c r="D18" i="3"/>
  <c r="C18" i="3"/>
  <c r="C20" i="3"/>
  <c r="C19" i="3"/>
  <c r="I18" i="20" l="1"/>
  <c r="K18" i="20"/>
  <c r="M21" i="18"/>
  <c r="R4" i="18"/>
  <c r="N21" i="18"/>
  <c r="P4" i="18"/>
  <c r="N20" i="18"/>
  <c r="M20" i="18"/>
  <c r="Q5" i="18" l="1"/>
  <c r="Q15" i="18"/>
  <c r="Q13" i="18"/>
  <c r="Q11" i="18"/>
  <c r="Q9" i="18"/>
  <c r="Q7" i="18"/>
  <c r="Q4" i="18"/>
  <c r="Q16" i="18"/>
  <c r="Q14" i="18"/>
  <c r="Q12" i="18"/>
  <c r="Q10" i="18"/>
  <c r="Q8" i="18"/>
  <c r="L18" i="20"/>
  <c r="N18" i="20"/>
  <c r="O5" i="18"/>
  <c r="O8" i="18"/>
  <c r="O9" i="18"/>
  <c r="O10" i="18"/>
  <c r="O11" i="18"/>
  <c r="O12" i="18"/>
  <c r="O13" i="18"/>
  <c r="O14" i="18"/>
  <c r="O15" i="18"/>
  <c r="O16" i="18"/>
  <c r="R12" i="18" l="1"/>
  <c r="P12" i="18"/>
  <c r="P15" i="18"/>
  <c r="R15" i="18"/>
  <c r="R7" i="18"/>
  <c r="P7" i="18"/>
  <c r="P14" i="18"/>
  <c r="R14" i="18"/>
  <c r="P10" i="18"/>
  <c r="R10" i="18"/>
  <c r="R16" i="18"/>
  <c r="P16" i="18"/>
  <c r="R8" i="18"/>
  <c r="P8" i="18"/>
  <c r="P11" i="18"/>
  <c r="R11" i="18"/>
  <c r="R13" i="18"/>
  <c r="P13" i="18"/>
  <c r="P9" i="18"/>
  <c r="R9" i="18"/>
  <c r="Q20" i="18"/>
  <c r="P5" i="18"/>
  <c r="R5" i="18"/>
  <c r="O20" i="18"/>
  <c r="O18" i="20"/>
  <c r="Q18" i="20"/>
  <c r="D21" i="18"/>
  <c r="E21" i="18" s="1"/>
  <c r="P20" i="18" l="1"/>
  <c r="Q21" i="18" s="1"/>
  <c r="R20" i="18"/>
  <c r="R21" i="18" s="1"/>
  <c r="AG26" i="5"/>
  <c r="AL8" i="12"/>
  <c r="AO7" i="11"/>
  <c r="AP5" i="11"/>
  <c r="AQ5" i="11"/>
  <c r="AO4" i="11"/>
  <c r="AP4" i="11"/>
  <c r="AQ4" i="11"/>
  <c r="AP3" i="11"/>
  <c r="AP7" i="11" s="1"/>
  <c r="AQ3" i="11"/>
  <c r="AQ7" i="11" s="1"/>
  <c r="AO3" i="11"/>
  <c r="AF10" i="10"/>
  <c r="AL9" i="9"/>
  <c r="AL10" i="6"/>
  <c r="AL10" i="7" l="1"/>
  <c r="AY31" i="2" l="1"/>
  <c r="AY28" i="2"/>
  <c r="AY25" i="2"/>
  <c r="AY22" i="2"/>
  <c r="AY19" i="2"/>
  <c r="AY16" i="2"/>
  <c r="AY13" i="2"/>
  <c r="AY10" i="2"/>
  <c r="AY7" i="2"/>
  <c r="AY4" i="2"/>
  <c r="A4" i="17" l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E23" i="16" l="1"/>
  <c r="I23" i="16" s="1"/>
  <c r="E21" i="16"/>
  <c r="I21" i="16" s="1"/>
  <c r="E18" i="16"/>
  <c r="I18" i="16" s="1"/>
  <c r="E12" i="16"/>
  <c r="E17" i="16"/>
  <c r="I17" i="16" s="1"/>
  <c r="E14" i="16"/>
  <c r="I14" i="16" s="1"/>
  <c r="I12" i="16" l="1"/>
  <c r="AI3" i="11"/>
  <c r="AI7" i="12" l="1"/>
  <c r="AJ7" i="12"/>
  <c r="AK7" i="12"/>
  <c r="AL7" i="12"/>
  <c r="AH7" i="12"/>
  <c r="AJ7" i="11"/>
  <c r="AK7" i="11"/>
  <c r="AI7" i="11"/>
  <c r="AC8" i="10"/>
  <c r="AD8" i="10"/>
  <c r="AE8" i="10"/>
  <c r="AF8" i="10"/>
  <c r="AB8" i="10"/>
  <c r="AI8" i="9"/>
  <c r="AJ8" i="9"/>
  <c r="AK8" i="9"/>
  <c r="AL8" i="9"/>
  <c r="AH8" i="9"/>
  <c r="AI9" i="7" l="1"/>
  <c r="AJ9" i="7"/>
  <c r="AK9" i="7"/>
  <c r="AL9" i="7"/>
  <c r="AH9" i="7"/>
  <c r="AI9" i="6"/>
  <c r="AJ9" i="6"/>
  <c r="AK9" i="6"/>
  <c r="AL9" i="6"/>
  <c r="AH9" i="6"/>
  <c r="AI14" i="5"/>
  <c r="AJ14" i="5"/>
  <c r="AK14" i="5"/>
  <c r="AL14" i="5"/>
  <c r="AF14" i="13" l="1"/>
  <c r="AE14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H14" i="13"/>
  <c r="G14" i="13"/>
  <c r="F14" i="13"/>
  <c r="E14" i="13"/>
  <c r="D14" i="13"/>
  <c r="C14" i="13"/>
  <c r="AF13" i="13"/>
  <c r="AE13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H13" i="13"/>
  <c r="G13" i="13"/>
  <c r="F13" i="13"/>
  <c r="E13" i="13"/>
  <c r="D13" i="13"/>
  <c r="C13" i="13"/>
  <c r="AH6" i="12"/>
  <c r="AI6" i="12"/>
  <c r="AJ6" i="12"/>
  <c r="AK6" i="12"/>
  <c r="AL6" i="12"/>
  <c r="AI5" i="12"/>
  <c r="AJ5" i="12"/>
  <c r="AK5" i="12"/>
  <c r="AL5" i="12"/>
  <c r="AH5" i="12"/>
  <c r="AK14" i="12"/>
  <c r="AK13" i="12"/>
  <c r="AF14" i="12"/>
  <c r="AE14" i="12"/>
  <c r="AD14" i="12"/>
  <c r="AC14" i="12"/>
  <c r="AB14" i="12"/>
  <c r="AA14" i="12"/>
  <c r="AF13" i="12"/>
  <c r="AE13" i="12"/>
  <c r="AD13" i="12"/>
  <c r="AC13" i="12"/>
  <c r="AB13" i="12"/>
  <c r="AA13" i="12"/>
  <c r="Z14" i="12"/>
  <c r="Y14" i="12"/>
  <c r="X14" i="12"/>
  <c r="W14" i="12"/>
  <c r="V14" i="12"/>
  <c r="U14" i="12"/>
  <c r="AJ14" i="12" s="1"/>
  <c r="T14" i="12"/>
  <c r="S14" i="12"/>
  <c r="R14" i="12"/>
  <c r="Q14" i="12"/>
  <c r="AI14" i="12" s="1"/>
  <c r="P14" i="12"/>
  <c r="O14" i="12"/>
  <c r="N14" i="12"/>
  <c r="M14" i="12"/>
  <c r="L14" i="12"/>
  <c r="K14" i="12"/>
  <c r="J14" i="12"/>
  <c r="I14" i="12"/>
  <c r="AH14" i="12" s="1"/>
  <c r="H14" i="12"/>
  <c r="G14" i="12"/>
  <c r="F14" i="12"/>
  <c r="E14" i="12"/>
  <c r="D14" i="12"/>
  <c r="C14" i="12"/>
  <c r="AG14" i="12" s="1"/>
  <c r="Z13" i="12"/>
  <c r="Y13" i="12"/>
  <c r="X13" i="12"/>
  <c r="W13" i="12"/>
  <c r="V13" i="12"/>
  <c r="U13" i="12"/>
  <c r="AJ13" i="12" s="1"/>
  <c r="T13" i="12"/>
  <c r="S13" i="12"/>
  <c r="R13" i="12"/>
  <c r="Q13" i="12"/>
  <c r="AI13" i="12" s="1"/>
  <c r="P13" i="12"/>
  <c r="O13" i="12"/>
  <c r="N13" i="12"/>
  <c r="M13" i="12"/>
  <c r="L13" i="12"/>
  <c r="K13" i="12"/>
  <c r="J13" i="12"/>
  <c r="I13" i="12"/>
  <c r="AH13" i="12" s="1"/>
  <c r="H13" i="12"/>
  <c r="G13" i="12"/>
  <c r="F13" i="12"/>
  <c r="E13" i="12"/>
  <c r="D13" i="12"/>
  <c r="C13" i="12"/>
  <c r="AG13" i="12" s="1"/>
  <c r="AC6" i="10"/>
  <c r="AD6" i="10"/>
  <c r="AE6" i="10"/>
  <c r="AF6" i="10"/>
  <c r="AC7" i="10"/>
  <c r="AD7" i="10"/>
  <c r="AE7" i="10"/>
  <c r="AF7" i="10"/>
  <c r="AD5" i="10"/>
  <c r="AE5" i="10"/>
  <c r="AF5" i="10"/>
  <c r="AC5" i="10"/>
  <c r="Z17" i="10"/>
  <c r="Y17" i="10"/>
  <c r="X17" i="10"/>
  <c r="W17" i="10"/>
  <c r="V17" i="10"/>
  <c r="U17" i="10"/>
  <c r="AF17" i="10" s="1"/>
  <c r="T17" i="10"/>
  <c r="S17" i="10"/>
  <c r="R17" i="10"/>
  <c r="Q17" i="10"/>
  <c r="P17" i="10"/>
  <c r="O17" i="10"/>
  <c r="AE17" i="10" s="1"/>
  <c r="N17" i="10"/>
  <c r="M17" i="10"/>
  <c r="L17" i="10"/>
  <c r="K17" i="10"/>
  <c r="J17" i="10"/>
  <c r="AD17" i="10" s="1"/>
  <c r="I17" i="10"/>
  <c r="H17" i="10"/>
  <c r="G17" i="10"/>
  <c r="F17" i="10"/>
  <c r="E17" i="10"/>
  <c r="D17" i="10"/>
  <c r="C17" i="10"/>
  <c r="AC17" i="10" s="1"/>
  <c r="Z16" i="10"/>
  <c r="Y16" i="10"/>
  <c r="X16" i="10"/>
  <c r="W16" i="10"/>
  <c r="V16" i="10"/>
  <c r="U16" i="10"/>
  <c r="AF16" i="10" s="1"/>
  <c r="T16" i="10"/>
  <c r="S16" i="10"/>
  <c r="R16" i="10"/>
  <c r="Q16" i="10"/>
  <c r="P16" i="10"/>
  <c r="O16" i="10"/>
  <c r="AE16" i="10" s="1"/>
  <c r="N16" i="10"/>
  <c r="M16" i="10"/>
  <c r="L16" i="10"/>
  <c r="K16" i="10"/>
  <c r="J16" i="10"/>
  <c r="I16" i="10"/>
  <c r="AD16" i="10" s="1"/>
  <c r="H16" i="10"/>
  <c r="G16" i="10"/>
  <c r="F16" i="10"/>
  <c r="E16" i="10"/>
  <c r="AC16" i="10" s="1"/>
  <c r="D16" i="10"/>
  <c r="C16" i="10"/>
  <c r="Z15" i="10"/>
  <c r="Y15" i="10"/>
  <c r="X15" i="10"/>
  <c r="AF15" i="10" s="1"/>
  <c r="W15" i="10"/>
  <c r="V15" i="10"/>
  <c r="U15" i="10"/>
  <c r="T15" i="10"/>
  <c r="S15" i="10"/>
  <c r="R15" i="10"/>
  <c r="Q15" i="10"/>
  <c r="P15" i="10"/>
  <c r="O15" i="10"/>
  <c r="AE15" i="10" s="1"/>
  <c r="N15" i="10"/>
  <c r="M15" i="10"/>
  <c r="L15" i="10"/>
  <c r="K15" i="10"/>
  <c r="J15" i="10"/>
  <c r="I15" i="10"/>
  <c r="AD15" i="10" s="1"/>
  <c r="H15" i="10"/>
  <c r="G15" i="10"/>
  <c r="F15" i="10"/>
  <c r="E15" i="10"/>
  <c r="D15" i="10"/>
  <c r="C15" i="10"/>
  <c r="AC15" i="10" s="1"/>
  <c r="AH6" i="9"/>
  <c r="AI6" i="9"/>
  <c r="AJ6" i="9"/>
  <c r="AK6" i="9"/>
  <c r="AL6" i="9"/>
  <c r="AH7" i="9"/>
  <c r="AI7" i="9"/>
  <c r="AJ7" i="9"/>
  <c r="AK7" i="9"/>
  <c r="AL7" i="9"/>
  <c r="AJ5" i="9"/>
  <c r="AK5" i="9"/>
  <c r="AL5" i="9"/>
  <c r="AI5" i="9"/>
  <c r="AH5" i="9"/>
  <c r="AK16" i="9"/>
  <c r="AK17" i="9"/>
  <c r="AK15" i="9"/>
  <c r="AF17" i="9"/>
  <c r="AE17" i="9"/>
  <c r="AD17" i="9"/>
  <c r="AC17" i="9"/>
  <c r="AB17" i="9"/>
  <c r="AA17" i="9"/>
  <c r="AF16" i="9"/>
  <c r="AE16" i="9"/>
  <c r="AD16" i="9"/>
  <c r="AC16" i="9"/>
  <c r="AB16" i="9"/>
  <c r="AA16" i="9"/>
  <c r="AF15" i="9"/>
  <c r="AE15" i="9"/>
  <c r="AD15" i="9"/>
  <c r="AC15" i="9"/>
  <c r="AB15" i="9"/>
  <c r="AA15" i="9"/>
  <c r="Z17" i="9"/>
  <c r="Y17" i="9"/>
  <c r="X17" i="9"/>
  <c r="W17" i="9"/>
  <c r="V17" i="9"/>
  <c r="U17" i="9"/>
  <c r="AJ17" i="9" s="1"/>
  <c r="T17" i="9"/>
  <c r="S17" i="9"/>
  <c r="R17" i="9"/>
  <c r="Q17" i="9"/>
  <c r="P17" i="9"/>
  <c r="O17" i="9"/>
  <c r="AI17" i="9" s="1"/>
  <c r="N17" i="9"/>
  <c r="M17" i="9"/>
  <c r="L17" i="9"/>
  <c r="K17" i="9"/>
  <c r="J17" i="9"/>
  <c r="I17" i="9"/>
  <c r="AH17" i="9" s="1"/>
  <c r="H17" i="9"/>
  <c r="G17" i="9"/>
  <c r="F17" i="9"/>
  <c r="E17" i="9"/>
  <c r="D17" i="9"/>
  <c r="C17" i="9"/>
  <c r="AG17" i="9" s="1"/>
  <c r="Z16" i="9"/>
  <c r="Y16" i="9"/>
  <c r="X16" i="9"/>
  <c r="W16" i="9"/>
  <c r="V16" i="9"/>
  <c r="U16" i="9"/>
  <c r="AJ16" i="9" s="1"/>
  <c r="T16" i="9"/>
  <c r="S16" i="9"/>
  <c r="R16" i="9"/>
  <c r="Q16" i="9"/>
  <c r="P16" i="9"/>
  <c r="O16" i="9"/>
  <c r="AI16" i="9" s="1"/>
  <c r="N16" i="9"/>
  <c r="M16" i="9"/>
  <c r="L16" i="9"/>
  <c r="K16" i="9"/>
  <c r="J16" i="9"/>
  <c r="I16" i="9"/>
  <c r="AH16" i="9" s="1"/>
  <c r="H16" i="9"/>
  <c r="G16" i="9"/>
  <c r="F16" i="9"/>
  <c r="E16" i="9"/>
  <c r="D16" i="9"/>
  <c r="C16" i="9"/>
  <c r="AG16" i="9" s="1"/>
  <c r="Z15" i="9"/>
  <c r="Y15" i="9"/>
  <c r="X15" i="9"/>
  <c r="W15" i="9"/>
  <c r="V15" i="9"/>
  <c r="U15" i="9"/>
  <c r="AJ15" i="9" s="1"/>
  <c r="T15" i="9"/>
  <c r="S15" i="9"/>
  <c r="R15" i="9"/>
  <c r="Q15" i="9"/>
  <c r="P15" i="9"/>
  <c r="O15" i="9"/>
  <c r="AI15" i="9" s="1"/>
  <c r="N15" i="9"/>
  <c r="M15" i="9"/>
  <c r="L15" i="9"/>
  <c r="K15" i="9"/>
  <c r="J15" i="9"/>
  <c r="I15" i="9"/>
  <c r="AH15" i="9" s="1"/>
  <c r="H15" i="9"/>
  <c r="G15" i="9"/>
  <c r="F15" i="9"/>
  <c r="E15" i="9"/>
  <c r="D15" i="9"/>
  <c r="C15" i="9"/>
  <c r="AG15" i="9" s="1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AH17" i="8" s="1"/>
  <c r="AI7" i="8" s="1"/>
  <c r="H17" i="8"/>
  <c r="G17" i="8"/>
  <c r="F17" i="8"/>
  <c r="E17" i="8"/>
  <c r="D17" i="8"/>
  <c r="C17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AH16" i="8" s="1"/>
  <c r="AI6" i="8" s="1"/>
  <c r="H16" i="8"/>
  <c r="G16" i="8"/>
  <c r="F16" i="8"/>
  <c r="E16" i="8"/>
  <c r="D16" i="8"/>
  <c r="C16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H15" i="8"/>
  <c r="G15" i="8"/>
  <c r="F15" i="8"/>
  <c r="E15" i="8"/>
  <c r="D15" i="8"/>
  <c r="C15" i="8"/>
  <c r="AH6" i="7"/>
  <c r="AI6" i="7"/>
  <c r="AJ6" i="7"/>
  <c r="AK6" i="7"/>
  <c r="AL6" i="7"/>
  <c r="AH7" i="7"/>
  <c r="AI7" i="7"/>
  <c r="AJ7" i="7"/>
  <c r="AK7" i="7"/>
  <c r="AL7" i="7"/>
  <c r="AH8" i="7"/>
  <c r="AI8" i="7"/>
  <c r="AJ8" i="7"/>
  <c r="AK8" i="7"/>
  <c r="AL8" i="7"/>
  <c r="AJ5" i="7"/>
  <c r="AK5" i="7"/>
  <c r="AL5" i="7"/>
  <c r="AI5" i="7"/>
  <c r="AH5" i="7"/>
  <c r="AF21" i="7"/>
  <c r="AE21" i="7"/>
  <c r="AD21" i="7"/>
  <c r="AC21" i="7"/>
  <c r="AB21" i="7"/>
  <c r="AA21" i="7"/>
  <c r="AK21" i="7" s="1"/>
  <c r="Z21" i="7"/>
  <c r="Y21" i="7"/>
  <c r="X21" i="7"/>
  <c r="W21" i="7"/>
  <c r="V21" i="7"/>
  <c r="U21" i="7"/>
  <c r="AJ21" i="7" s="1"/>
  <c r="T21" i="7"/>
  <c r="S21" i="7"/>
  <c r="R21" i="7"/>
  <c r="Q21" i="7"/>
  <c r="P21" i="7"/>
  <c r="O21" i="7"/>
  <c r="AI21" i="7" s="1"/>
  <c r="N21" i="7"/>
  <c r="M21" i="7"/>
  <c r="L21" i="7"/>
  <c r="K21" i="7"/>
  <c r="J21" i="7"/>
  <c r="AH21" i="7" s="1"/>
  <c r="I21" i="7"/>
  <c r="H21" i="7"/>
  <c r="G21" i="7"/>
  <c r="F21" i="7"/>
  <c r="E21" i="7"/>
  <c r="D21" i="7"/>
  <c r="C21" i="7"/>
  <c r="AG21" i="7" s="1"/>
  <c r="AF20" i="7"/>
  <c r="AE20" i="7"/>
  <c r="AD20" i="7"/>
  <c r="AC20" i="7"/>
  <c r="AK20" i="7" s="1"/>
  <c r="AB20" i="7"/>
  <c r="AA20" i="7"/>
  <c r="Z20" i="7"/>
  <c r="Y20" i="7"/>
  <c r="X20" i="7"/>
  <c r="W20" i="7"/>
  <c r="V20" i="7"/>
  <c r="U20" i="7"/>
  <c r="AJ20" i="7" s="1"/>
  <c r="T20" i="7"/>
  <c r="S20" i="7"/>
  <c r="R20" i="7"/>
  <c r="Q20" i="7"/>
  <c r="P20" i="7"/>
  <c r="O20" i="7"/>
  <c r="AI20" i="7" s="1"/>
  <c r="N20" i="7"/>
  <c r="M20" i="7"/>
  <c r="L20" i="7"/>
  <c r="K20" i="7"/>
  <c r="J20" i="7"/>
  <c r="I20" i="7"/>
  <c r="AH20" i="7" s="1"/>
  <c r="H20" i="7"/>
  <c r="G20" i="7"/>
  <c r="F20" i="7"/>
  <c r="E20" i="7"/>
  <c r="AG20" i="7" s="1"/>
  <c r="D20" i="7"/>
  <c r="C20" i="7"/>
  <c r="AF19" i="7"/>
  <c r="AE19" i="7"/>
  <c r="AD19" i="7"/>
  <c r="AC19" i="7"/>
  <c r="AB19" i="7"/>
  <c r="AA19" i="7"/>
  <c r="AK19" i="7" s="1"/>
  <c r="Z19" i="7"/>
  <c r="Y19" i="7"/>
  <c r="X19" i="7"/>
  <c r="AJ19" i="7" s="1"/>
  <c r="W19" i="7"/>
  <c r="V19" i="7"/>
  <c r="U19" i="7"/>
  <c r="T19" i="7"/>
  <c r="S19" i="7"/>
  <c r="R19" i="7"/>
  <c r="Q19" i="7"/>
  <c r="P19" i="7"/>
  <c r="O19" i="7"/>
  <c r="AI19" i="7" s="1"/>
  <c r="N19" i="7"/>
  <c r="M19" i="7"/>
  <c r="L19" i="7"/>
  <c r="K19" i="7"/>
  <c r="J19" i="7"/>
  <c r="I19" i="7"/>
  <c r="AH19" i="7" s="1"/>
  <c r="H19" i="7"/>
  <c r="G19" i="7"/>
  <c r="F19" i="7"/>
  <c r="E19" i="7"/>
  <c r="D19" i="7"/>
  <c r="C19" i="7"/>
  <c r="AG19" i="7" s="1"/>
  <c r="AF18" i="7"/>
  <c r="AE18" i="7"/>
  <c r="AD18" i="7"/>
  <c r="AC18" i="7"/>
  <c r="AB18" i="7"/>
  <c r="AA18" i="7"/>
  <c r="AK18" i="7" s="1"/>
  <c r="Z18" i="7"/>
  <c r="Y18" i="7"/>
  <c r="X18" i="7"/>
  <c r="W18" i="7"/>
  <c r="V18" i="7"/>
  <c r="U18" i="7"/>
  <c r="AJ18" i="7" s="1"/>
  <c r="T18" i="7"/>
  <c r="S18" i="7"/>
  <c r="R18" i="7"/>
  <c r="Q18" i="7"/>
  <c r="P18" i="7"/>
  <c r="O18" i="7"/>
  <c r="AI18" i="7" s="1"/>
  <c r="N18" i="7"/>
  <c r="M18" i="7"/>
  <c r="L18" i="7"/>
  <c r="K18" i="7"/>
  <c r="J18" i="7"/>
  <c r="I18" i="7"/>
  <c r="AH18" i="7" s="1"/>
  <c r="H18" i="7"/>
  <c r="G18" i="7"/>
  <c r="F18" i="7"/>
  <c r="E18" i="7"/>
  <c r="D18" i="7"/>
  <c r="C18" i="7"/>
  <c r="AG18" i="7" s="1"/>
  <c r="AH6" i="6"/>
  <c r="AH7" i="6"/>
  <c r="AH8" i="6"/>
  <c r="AI6" i="6"/>
  <c r="AJ6" i="6"/>
  <c r="AK6" i="6"/>
  <c r="AL6" i="6"/>
  <c r="AI7" i="6"/>
  <c r="AJ7" i="6"/>
  <c r="AK7" i="6"/>
  <c r="AL7" i="6"/>
  <c r="AI8" i="6"/>
  <c r="AJ8" i="6"/>
  <c r="AK8" i="6"/>
  <c r="AL8" i="6"/>
  <c r="AJ5" i="6"/>
  <c r="AK5" i="6"/>
  <c r="AL5" i="6"/>
  <c r="AI5" i="6"/>
  <c r="AH5" i="6"/>
  <c r="AK19" i="6"/>
  <c r="AK20" i="6"/>
  <c r="AK21" i="6"/>
  <c r="AK18" i="6"/>
  <c r="AF21" i="6"/>
  <c r="AE21" i="6"/>
  <c r="AD21" i="6"/>
  <c r="AC21" i="6"/>
  <c r="AB21" i="6"/>
  <c r="AA21" i="6"/>
  <c r="AF20" i="6"/>
  <c r="AE20" i="6"/>
  <c r="AD20" i="6"/>
  <c r="AC20" i="6"/>
  <c r="AB20" i="6"/>
  <c r="AA20" i="6"/>
  <c r="AF19" i="6"/>
  <c r="AE19" i="6"/>
  <c r="AD19" i="6"/>
  <c r="AC19" i="6"/>
  <c r="AB19" i="6"/>
  <c r="AA19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Z21" i="6"/>
  <c r="Y21" i="6"/>
  <c r="X21" i="6"/>
  <c r="W21" i="6"/>
  <c r="V21" i="6"/>
  <c r="U21" i="6"/>
  <c r="T21" i="6"/>
  <c r="S21" i="6"/>
  <c r="R21" i="6"/>
  <c r="Q21" i="6"/>
  <c r="P21" i="6"/>
  <c r="AI21" i="6" s="1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Z20" i="6"/>
  <c r="Y20" i="6"/>
  <c r="X20" i="6"/>
  <c r="W20" i="6"/>
  <c r="V20" i="6"/>
  <c r="U20" i="6"/>
  <c r="T20" i="6"/>
  <c r="S20" i="6"/>
  <c r="R20" i="6"/>
  <c r="Q20" i="6"/>
  <c r="P20" i="6"/>
  <c r="AI20" i="6" s="1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Z19" i="6"/>
  <c r="Y19" i="6"/>
  <c r="X19" i="6"/>
  <c r="W19" i="6"/>
  <c r="V19" i="6"/>
  <c r="U19" i="6"/>
  <c r="T19" i="6"/>
  <c r="S19" i="6"/>
  <c r="R19" i="6"/>
  <c r="Q19" i="6"/>
  <c r="P19" i="6"/>
  <c r="AI19" i="6" s="1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H6" i="5"/>
  <c r="AH14" i="5" s="1"/>
  <c r="AL15" i="5" s="1"/>
  <c r="AI6" i="5"/>
  <c r="AJ6" i="5"/>
  <c r="AH7" i="5"/>
  <c r="AI7" i="5"/>
  <c r="AJ7" i="5"/>
  <c r="AK6" i="5"/>
  <c r="AH8" i="5"/>
  <c r="AI8" i="5"/>
  <c r="AK7" i="5"/>
  <c r="AL7" i="5"/>
  <c r="AJ8" i="5"/>
  <c r="AK8" i="5"/>
  <c r="AL8" i="5"/>
  <c r="AH9" i="5"/>
  <c r="AI9" i="5"/>
  <c r="AJ9" i="5"/>
  <c r="AK9" i="5"/>
  <c r="AL9" i="5"/>
  <c r="AH10" i="5"/>
  <c r="AI10" i="5"/>
  <c r="AJ10" i="5"/>
  <c r="AK10" i="5"/>
  <c r="AL10" i="5"/>
  <c r="AH11" i="5"/>
  <c r="AI11" i="5"/>
  <c r="AJ11" i="5"/>
  <c r="AK11" i="5"/>
  <c r="AL11" i="5"/>
  <c r="AL6" i="5"/>
  <c r="AG27" i="5"/>
  <c r="AH27" i="5"/>
  <c r="AI27" i="5"/>
  <c r="AJ27" i="5"/>
  <c r="AK27" i="5"/>
  <c r="AG28" i="5"/>
  <c r="AH28" i="5"/>
  <c r="AI28" i="5"/>
  <c r="AJ28" i="5"/>
  <c r="AK28" i="5"/>
  <c r="AG29" i="5"/>
  <c r="AH29" i="5"/>
  <c r="AI29" i="5"/>
  <c r="AJ29" i="5"/>
  <c r="AK29" i="5"/>
  <c r="AG30" i="5"/>
  <c r="AH30" i="5"/>
  <c r="AI30" i="5"/>
  <c r="AJ30" i="5"/>
  <c r="AK30" i="5"/>
  <c r="AG31" i="5"/>
  <c r="AH31" i="5"/>
  <c r="AI31" i="5"/>
  <c r="AJ31" i="5"/>
  <c r="AK31" i="5"/>
  <c r="AK26" i="5"/>
  <c r="AJ26" i="5"/>
  <c r="AI26" i="5"/>
  <c r="AH26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H26" i="5"/>
  <c r="N26" i="5"/>
  <c r="T26" i="5"/>
  <c r="Z26" i="5"/>
  <c r="AA26" i="5"/>
  <c r="AB26" i="5"/>
  <c r="AC26" i="5"/>
  <c r="AD26" i="5"/>
  <c r="AE26" i="5"/>
  <c r="AF26" i="5"/>
  <c r="Y26" i="5"/>
  <c r="X26" i="5"/>
  <c r="W26" i="5"/>
  <c r="V26" i="5"/>
  <c r="U26" i="5"/>
  <c r="S26" i="5"/>
  <c r="R26" i="5"/>
  <c r="Q26" i="5"/>
  <c r="P26" i="5"/>
  <c r="O26" i="5"/>
  <c r="M26" i="5"/>
  <c r="L26" i="5"/>
  <c r="K26" i="5"/>
  <c r="J26" i="5"/>
  <c r="I26" i="5"/>
  <c r="G26" i="5"/>
  <c r="F26" i="5"/>
  <c r="E26" i="5"/>
  <c r="D26" i="5"/>
  <c r="C26" i="5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H17" i="4"/>
  <c r="G17" i="4"/>
  <c r="F17" i="4"/>
  <c r="E17" i="4"/>
  <c r="D17" i="4"/>
  <c r="C17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H16" i="4"/>
  <c r="G16" i="4"/>
  <c r="F16" i="4"/>
  <c r="E16" i="4"/>
  <c r="D16" i="4"/>
  <c r="C16" i="4"/>
  <c r="H15" i="4"/>
  <c r="T15" i="4"/>
  <c r="Z15" i="4"/>
  <c r="AF15" i="4"/>
  <c r="D15" i="4"/>
  <c r="AG15" i="4" s="1"/>
  <c r="AH5" i="4" s="1"/>
  <c r="E15" i="4"/>
  <c r="F15" i="4"/>
  <c r="G15" i="4"/>
  <c r="O15" i="4"/>
  <c r="P15" i="4"/>
  <c r="Q15" i="4"/>
  <c r="R15" i="4"/>
  <c r="S15" i="4"/>
  <c r="U15" i="4"/>
  <c r="V15" i="4"/>
  <c r="W15" i="4"/>
  <c r="X15" i="4"/>
  <c r="Y15" i="4"/>
  <c r="AA15" i="4"/>
  <c r="AB15" i="4"/>
  <c r="AC15" i="4"/>
  <c r="AD15" i="4"/>
  <c r="AE15" i="4"/>
  <c r="C15" i="4"/>
  <c r="AH15" i="4" l="1"/>
  <c r="AI5" i="4" s="1"/>
  <c r="AI16" i="4"/>
  <c r="AJ6" i="4" s="1"/>
  <c r="AJ15" i="4"/>
  <c r="AK5" i="4" s="1"/>
  <c r="AG16" i="4"/>
  <c r="AH6" i="4" s="1"/>
  <c r="AH8" i="4" s="1"/>
  <c r="AG17" i="4"/>
  <c r="AH7" i="4" s="1"/>
  <c r="AI17" i="4"/>
  <c r="AJ7" i="4" s="1"/>
  <c r="AI15" i="4"/>
  <c r="AJ5" i="4" s="1"/>
  <c r="AJ8" i="4" s="1"/>
  <c r="AH16" i="4"/>
  <c r="AI6" i="4" s="1"/>
  <c r="AI8" i="4" s="1"/>
  <c r="AJ16" i="4"/>
  <c r="AK6" i="4" s="1"/>
  <c r="AH17" i="4"/>
  <c r="AI7" i="4" s="1"/>
  <c r="AJ17" i="4"/>
  <c r="AK7" i="4" s="1"/>
  <c r="AJ13" i="13"/>
  <c r="AK5" i="13" s="1"/>
  <c r="AH14" i="13"/>
  <c r="AI6" i="13" s="1"/>
  <c r="AJ14" i="13"/>
  <c r="AK6" i="13" s="1"/>
  <c r="AH13" i="13"/>
  <c r="AI5" i="13" s="1"/>
  <c r="AI14" i="13"/>
  <c r="AJ6" i="13" s="1"/>
  <c r="AK14" i="13"/>
  <c r="AL6" i="13" s="1"/>
  <c r="AI13" i="13"/>
  <c r="AJ5" i="13" s="1"/>
  <c r="AK13" i="13"/>
  <c r="AL5" i="13" s="1"/>
  <c r="AG15" i="8"/>
  <c r="AH5" i="8" s="1"/>
  <c r="AI15" i="8"/>
  <c r="AJ5" i="8" s="1"/>
  <c r="AG16" i="8"/>
  <c r="AH6" i="8" s="1"/>
  <c r="AI16" i="8"/>
  <c r="AJ6" i="8" s="1"/>
  <c r="AG17" i="8"/>
  <c r="AH7" i="8" s="1"/>
  <c r="AI17" i="8"/>
  <c r="AJ7" i="8" s="1"/>
  <c r="AH15" i="8"/>
  <c r="AI5" i="8" s="1"/>
  <c r="AI8" i="8" s="1"/>
  <c r="AJ15" i="8"/>
  <c r="AK5" i="8" s="1"/>
  <c r="AJ16" i="8"/>
  <c r="AK6" i="8" s="1"/>
  <c r="AJ17" i="8"/>
  <c r="AK7" i="8" s="1"/>
  <c r="AK8" i="4"/>
  <c r="AG19" i="6"/>
  <c r="AG20" i="6"/>
  <c r="AG21" i="6"/>
  <c r="AG18" i="6"/>
  <c r="AH18" i="6"/>
  <c r="AI18" i="6"/>
  <c r="AJ18" i="6"/>
  <c r="AH19" i="6"/>
  <c r="AJ19" i="6"/>
  <c r="AH20" i="6"/>
  <c r="AJ20" i="6"/>
  <c r="AH21" i="6"/>
  <c r="AJ21" i="6"/>
  <c r="AH7" i="3"/>
  <c r="AJ7" i="3"/>
  <c r="AK7" i="3"/>
  <c r="AL7" i="3"/>
  <c r="AF16" i="3"/>
  <c r="AB16" i="3"/>
  <c r="AC16" i="3"/>
  <c r="AD16" i="3"/>
  <c r="AE16" i="3"/>
  <c r="AA16" i="3"/>
  <c r="Z16" i="3"/>
  <c r="Y16" i="3"/>
  <c r="X16" i="3"/>
  <c r="W16" i="3"/>
  <c r="V16" i="3"/>
  <c r="AJ16" i="3" s="1"/>
  <c r="U16" i="3"/>
  <c r="T16" i="3"/>
  <c r="S16" i="3"/>
  <c r="R16" i="3"/>
  <c r="Q16" i="3"/>
  <c r="P16" i="3"/>
  <c r="O16" i="3"/>
  <c r="AI16" i="3" s="1"/>
  <c r="H16" i="3"/>
  <c r="G16" i="3"/>
  <c r="F16" i="3"/>
  <c r="E16" i="3"/>
  <c r="D16" i="3"/>
  <c r="AG16" i="3" s="1"/>
  <c r="C16" i="3"/>
  <c r="AF15" i="3"/>
  <c r="AE15" i="3"/>
  <c r="AD15" i="3"/>
  <c r="AK15" i="3" s="1"/>
  <c r="AL6" i="3" s="1"/>
  <c r="AC15" i="3"/>
  <c r="AB15" i="3"/>
  <c r="AA15" i="3"/>
  <c r="Z15" i="3"/>
  <c r="Y15" i="3"/>
  <c r="X15" i="3"/>
  <c r="W15" i="3"/>
  <c r="V15" i="3"/>
  <c r="U15" i="3"/>
  <c r="AJ15" i="3" s="1"/>
  <c r="AK6" i="3" s="1"/>
  <c r="T15" i="3"/>
  <c r="S15" i="3"/>
  <c r="R15" i="3"/>
  <c r="Q15" i="3"/>
  <c r="P15" i="3"/>
  <c r="O15" i="3"/>
  <c r="AI15" i="3" s="1"/>
  <c r="AJ6" i="3" s="1"/>
  <c r="H15" i="3"/>
  <c r="G15" i="3"/>
  <c r="F15" i="3"/>
  <c r="E15" i="3"/>
  <c r="D15" i="3"/>
  <c r="AG15" i="3" s="1"/>
  <c r="AH6" i="3" s="1"/>
  <c r="C15" i="3"/>
  <c r="H14" i="3"/>
  <c r="T14" i="3"/>
  <c r="Z14" i="3"/>
  <c r="AF14" i="3"/>
  <c r="D14" i="3"/>
  <c r="AG14" i="3" s="1"/>
  <c r="AH5" i="3" s="1"/>
  <c r="E14" i="3"/>
  <c r="F14" i="3"/>
  <c r="G14" i="3"/>
  <c r="O14" i="3"/>
  <c r="AI14" i="3" s="1"/>
  <c r="AJ5" i="3" s="1"/>
  <c r="AJ8" i="3" s="1"/>
  <c r="P14" i="3"/>
  <c r="Q14" i="3"/>
  <c r="R14" i="3"/>
  <c r="S14" i="3"/>
  <c r="U14" i="3"/>
  <c r="AJ14" i="3" s="1"/>
  <c r="AK5" i="3" s="1"/>
  <c r="V14" i="3"/>
  <c r="W14" i="3"/>
  <c r="X14" i="3"/>
  <c r="Y14" i="3"/>
  <c r="AA14" i="3"/>
  <c r="AB14" i="3"/>
  <c r="AC14" i="3"/>
  <c r="AD14" i="3"/>
  <c r="AE14" i="3"/>
  <c r="C14" i="3"/>
  <c r="BH24" i="2"/>
  <c r="BH25" i="2"/>
  <c r="AX66" i="2"/>
  <c r="AW66" i="2"/>
  <c r="AV66" i="2"/>
  <c r="AU66" i="2"/>
  <c r="AT66" i="2"/>
  <c r="AS66" i="2"/>
  <c r="AX67" i="2"/>
  <c r="AW67" i="2"/>
  <c r="AV67" i="2"/>
  <c r="AU67" i="2"/>
  <c r="AT67" i="2"/>
  <c r="AS67" i="2"/>
  <c r="AX68" i="2"/>
  <c r="AW68" i="2"/>
  <c r="AV68" i="2"/>
  <c r="AU68" i="2"/>
  <c r="AT68" i="2"/>
  <c r="AS68" i="2"/>
  <c r="AL68" i="2"/>
  <c r="AK68" i="2"/>
  <c r="AI68" i="2"/>
  <c r="AH68" i="2"/>
  <c r="AG68" i="2"/>
  <c r="AX69" i="2"/>
  <c r="AW69" i="2"/>
  <c r="AV69" i="2"/>
  <c r="AU69" i="2"/>
  <c r="AT69" i="2"/>
  <c r="AS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AX83" i="2"/>
  <c r="AW83" i="2"/>
  <c r="AV83" i="2"/>
  <c r="AU83" i="2"/>
  <c r="AT83" i="2"/>
  <c r="AS83" i="2"/>
  <c r="AX82" i="2"/>
  <c r="AW82" i="2"/>
  <c r="AV82" i="2"/>
  <c r="AU82" i="2"/>
  <c r="AT82" i="2"/>
  <c r="AS82" i="2"/>
  <c r="AX81" i="2"/>
  <c r="AW81" i="2"/>
  <c r="AV81" i="2"/>
  <c r="AU81" i="2"/>
  <c r="AT81" i="2"/>
  <c r="AS81" i="2"/>
  <c r="AX80" i="2"/>
  <c r="AW80" i="2"/>
  <c r="AV80" i="2"/>
  <c r="AU80" i="2"/>
  <c r="AT80" i="2"/>
  <c r="AS80" i="2"/>
  <c r="AX79" i="2"/>
  <c r="AW79" i="2"/>
  <c r="AV79" i="2"/>
  <c r="AU79" i="2"/>
  <c r="AT79" i="2"/>
  <c r="AS79" i="2"/>
  <c r="AX78" i="2"/>
  <c r="AW78" i="2"/>
  <c r="AV78" i="2"/>
  <c r="AU78" i="2"/>
  <c r="AT78" i="2"/>
  <c r="AS78" i="2"/>
  <c r="AX77" i="2"/>
  <c r="AW77" i="2"/>
  <c r="AV77" i="2"/>
  <c r="AU77" i="2"/>
  <c r="AT77" i="2"/>
  <c r="AS77" i="2"/>
  <c r="AX76" i="2"/>
  <c r="AW76" i="2"/>
  <c r="AV76" i="2"/>
  <c r="AU76" i="2"/>
  <c r="AT76" i="2"/>
  <c r="AS76" i="2"/>
  <c r="AX75" i="2"/>
  <c r="AW75" i="2"/>
  <c r="AV75" i="2"/>
  <c r="AU75" i="2"/>
  <c r="AT75" i="2"/>
  <c r="AS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H75" i="2"/>
  <c r="G75" i="2"/>
  <c r="F75" i="2"/>
  <c r="E75" i="2"/>
  <c r="D75" i="2"/>
  <c r="C75" i="2"/>
  <c r="AX74" i="2"/>
  <c r="AW74" i="2"/>
  <c r="AV74" i="2"/>
  <c r="AU74" i="2"/>
  <c r="AT74" i="2"/>
  <c r="AS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H74" i="2"/>
  <c r="G74" i="2"/>
  <c r="F74" i="2"/>
  <c r="E74" i="2"/>
  <c r="D74" i="2"/>
  <c r="C74" i="2"/>
  <c r="AX73" i="2"/>
  <c r="AW73" i="2"/>
  <c r="AV73" i="2"/>
  <c r="AU73" i="2"/>
  <c r="AT73" i="2"/>
  <c r="AS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H73" i="2"/>
  <c r="G73" i="2"/>
  <c r="F73" i="2"/>
  <c r="E73" i="2"/>
  <c r="D73" i="2"/>
  <c r="C73" i="2"/>
  <c r="AX72" i="2"/>
  <c r="AW72" i="2"/>
  <c r="AV72" i="2"/>
  <c r="AU72" i="2"/>
  <c r="AT72" i="2"/>
  <c r="AS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H72" i="2"/>
  <c r="G72" i="2"/>
  <c r="F72" i="2"/>
  <c r="E72" i="2"/>
  <c r="D72" i="2"/>
  <c r="C72" i="2"/>
  <c r="AX71" i="2"/>
  <c r="AW71" i="2"/>
  <c r="AV71" i="2"/>
  <c r="AU71" i="2"/>
  <c r="AT71" i="2"/>
  <c r="AS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H71" i="2"/>
  <c r="G71" i="2"/>
  <c r="F71" i="2"/>
  <c r="E71" i="2"/>
  <c r="D71" i="2"/>
  <c r="C71" i="2"/>
  <c r="H70" i="2"/>
  <c r="T70" i="2"/>
  <c r="Z70" i="2"/>
  <c r="AF70" i="2"/>
  <c r="AL70" i="2"/>
  <c r="AX70" i="2"/>
  <c r="D70" i="2"/>
  <c r="E70" i="2"/>
  <c r="F70" i="2"/>
  <c r="G70" i="2"/>
  <c r="O70" i="2"/>
  <c r="P70" i="2"/>
  <c r="Q70" i="2"/>
  <c r="R70" i="2"/>
  <c r="S70" i="2"/>
  <c r="U70" i="2"/>
  <c r="V70" i="2"/>
  <c r="W70" i="2"/>
  <c r="X70" i="2"/>
  <c r="Y70" i="2"/>
  <c r="AA70" i="2"/>
  <c r="AB70" i="2"/>
  <c r="AC70" i="2"/>
  <c r="AD70" i="2"/>
  <c r="AE70" i="2"/>
  <c r="AG70" i="2"/>
  <c r="AH70" i="2"/>
  <c r="AI70" i="2"/>
  <c r="AJ70" i="2"/>
  <c r="AK70" i="2"/>
  <c r="AS70" i="2"/>
  <c r="AT70" i="2"/>
  <c r="AU70" i="2"/>
  <c r="AV70" i="2"/>
  <c r="AW70" i="2"/>
  <c r="AK9" i="4" l="1"/>
  <c r="BH76" i="2"/>
  <c r="BH16" i="2" s="1"/>
  <c r="BH78" i="2"/>
  <c r="BH18" i="2" s="1"/>
  <c r="BH80" i="2"/>
  <c r="BH20" i="2" s="1"/>
  <c r="BH82" i="2"/>
  <c r="BH22" i="2" s="1"/>
  <c r="BE69" i="2"/>
  <c r="BE7" i="2" s="1"/>
  <c r="BH69" i="2"/>
  <c r="BH7" i="2" s="1"/>
  <c r="BE70" i="2"/>
  <c r="BE8" i="2" s="1"/>
  <c r="BH68" i="2"/>
  <c r="BH6" i="2" s="1"/>
  <c r="BH66" i="2"/>
  <c r="BH4" i="2" s="1"/>
  <c r="BD70" i="2"/>
  <c r="BD8" i="2" s="1"/>
  <c r="BH70" i="2"/>
  <c r="BH8" i="2" s="1"/>
  <c r="BC70" i="2"/>
  <c r="BC8" i="2" s="1"/>
  <c r="BH67" i="2"/>
  <c r="BH5" i="2" s="1"/>
  <c r="BF70" i="2"/>
  <c r="BF8" i="2" s="1"/>
  <c r="BH77" i="2"/>
  <c r="BH17" i="2" s="1"/>
  <c r="BH79" i="2"/>
  <c r="BH19" i="2" s="1"/>
  <c r="BH81" i="2"/>
  <c r="BH21" i="2" s="1"/>
  <c r="BH83" i="2"/>
  <c r="BH23" i="2" s="1"/>
  <c r="BP24" i="2" s="1"/>
  <c r="BF69" i="2"/>
  <c r="BF7" i="2" s="1"/>
  <c r="BF68" i="2"/>
  <c r="BF6" i="2" s="1"/>
  <c r="BC71" i="2"/>
  <c r="BC9" i="2" s="1"/>
  <c r="BE71" i="2"/>
  <c r="BE9" i="2" s="1"/>
  <c r="BH71" i="2"/>
  <c r="BH9" i="2" s="1"/>
  <c r="BC72" i="2"/>
  <c r="BC10" i="2" s="1"/>
  <c r="BE72" i="2"/>
  <c r="BE10" i="2" s="1"/>
  <c r="BH72" i="2"/>
  <c r="BH10" i="2" s="1"/>
  <c r="BC73" i="2"/>
  <c r="BC11" i="2" s="1"/>
  <c r="BE73" i="2"/>
  <c r="BE11" i="2" s="1"/>
  <c r="BH73" i="2"/>
  <c r="BH11" i="2" s="1"/>
  <c r="BC74" i="2"/>
  <c r="BC12" i="2" s="1"/>
  <c r="BE74" i="2"/>
  <c r="BE12" i="2" s="1"/>
  <c r="BH74" i="2"/>
  <c r="BH12" i="2" s="1"/>
  <c r="BC75" i="2"/>
  <c r="BC13" i="2" s="1"/>
  <c r="BE75" i="2"/>
  <c r="BE13" i="2" s="1"/>
  <c r="BH75" i="2"/>
  <c r="BH13" i="2" s="1"/>
  <c r="BF71" i="2"/>
  <c r="BF9" i="2" s="1"/>
  <c r="BD72" i="2"/>
  <c r="BD10" i="2" s="1"/>
  <c r="BF72" i="2"/>
  <c r="BF10" i="2" s="1"/>
  <c r="BD73" i="2"/>
  <c r="BD11" i="2" s="1"/>
  <c r="BF73" i="2"/>
  <c r="BF11" i="2" s="1"/>
  <c r="BD74" i="2"/>
  <c r="BD12" i="2" s="1"/>
  <c r="BF74" i="2"/>
  <c r="BF12" i="2" s="1"/>
  <c r="BD75" i="2"/>
  <c r="BD13" i="2" s="1"/>
  <c r="BF75" i="2"/>
  <c r="BF13" i="2" s="1"/>
  <c r="BD71" i="2"/>
  <c r="BD9" i="2" s="1"/>
  <c r="AZ71" i="2"/>
  <c r="BA9" i="2" s="1"/>
  <c r="AZ72" i="2"/>
  <c r="BA10" i="2" s="1"/>
  <c r="AZ73" i="2"/>
  <c r="BA11" i="2" s="1"/>
  <c r="AZ74" i="2"/>
  <c r="BA12" i="2" s="1"/>
  <c r="AZ75" i="2"/>
  <c r="BA13" i="2" s="1"/>
  <c r="AL7" i="13"/>
  <c r="AI7" i="13"/>
  <c r="AK7" i="13"/>
  <c r="AJ7" i="13"/>
  <c r="AK8" i="8"/>
  <c r="AK9" i="8" s="1"/>
  <c r="AJ8" i="8"/>
  <c r="AH8" i="8"/>
  <c r="AH8" i="3"/>
  <c r="AK8" i="3"/>
  <c r="AK14" i="3"/>
  <c r="AL5" i="3" s="1"/>
  <c r="AL8" i="3" s="1"/>
  <c r="AL9" i="3" s="1"/>
  <c r="BP25" i="2"/>
  <c r="AK16" i="3"/>
  <c r="C70" i="2"/>
  <c r="AZ70" i="2" s="1"/>
  <c r="BA8" i="2" s="1"/>
  <c r="AX41" i="1"/>
  <c r="AW41" i="1"/>
  <c r="AV41" i="1"/>
  <c r="AU41" i="1"/>
  <c r="AT41" i="1"/>
  <c r="AS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H41" i="1"/>
  <c r="G41" i="1"/>
  <c r="F41" i="1"/>
  <c r="E41" i="1"/>
  <c r="D41" i="1"/>
  <c r="C41" i="1"/>
  <c r="AX40" i="1"/>
  <c r="AW40" i="1"/>
  <c r="AV40" i="1"/>
  <c r="AU40" i="1"/>
  <c r="AT40" i="1"/>
  <c r="AS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H40" i="1"/>
  <c r="G40" i="1"/>
  <c r="F40" i="1"/>
  <c r="E40" i="1"/>
  <c r="D40" i="1"/>
  <c r="C40" i="1"/>
  <c r="AX39" i="1"/>
  <c r="AW39" i="1"/>
  <c r="AV39" i="1"/>
  <c r="AU39" i="1"/>
  <c r="AT39" i="1"/>
  <c r="AS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H39" i="1"/>
  <c r="G39" i="1"/>
  <c r="F39" i="1"/>
  <c r="E39" i="1"/>
  <c r="D39" i="1"/>
  <c r="C39" i="1"/>
  <c r="AX38" i="1"/>
  <c r="AW38" i="1"/>
  <c r="AV38" i="1"/>
  <c r="AU38" i="1"/>
  <c r="AT38" i="1"/>
  <c r="AS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H38" i="1"/>
  <c r="G38" i="1"/>
  <c r="F38" i="1"/>
  <c r="E38" i="1"/>
  <c r="D38" i="1"/>
  <c r="C38" i="1"/>
  <c r="AX37" i="1"/>
  <c r="AW37" i="1"/>
  <c r="AV37" i="1"/>
  <c r="AU37" i="1"/>
  <c r="AT37" i="1"/>
  <c r="AS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H37" i="1"/>
  <c r="G37" i="1"/>
  <c r="F37" i="1"/>
  <c r="E37" i="1"/>
  <c r="D37" i="1"/>
  <c r="C37" i="1"/>
  <c r="AX36" i="1"/>
  <c r="AW36" i="1"/>
  <c r="AV36" i="1"/>
  <c r="AU36" i="1"/>
  <c r="AT36" i="1"/>
  <c r="AS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H36" i="1"/>
  <c r="G36" i="1"/>
  <c r="F36" i="1"/>
  <c r="E36" i="1"/>
  <c r="D36" i="1"/>
  <c r="C36" i="1"/>
  <c r="AX35" i="1"/>
  <c r="AW35" i="1"/>
  <c r="AV35" i="1"/>
  <c r="AU35" i="1"/>
  <c r="AT35" i="1"/>
  <c r="AS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H35" i="1"/>
  <c r="G35" i="1"/>
  <c r="F35" i="1"/>
  <c r="E35" i="1"/>
  <c r="D35" i="1"/>
  <c r="C35" i="1"/>
  <c r="AX34" i="1"/>
  <c r="AW34" i="1"/>
  <c r="AV34" i="1"/>
  <c r="AU34" i="1"/>
  <c r="AT34" i="1"/>
  <c r="AS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H34" i="1"/>
  <c r="G34" i="1"/>
  <c r="F34" i="1"/>
  <c r="E34" i="1"/>
  <c r="D34" i="1"/>
  <c r="C34" i="1"/>
  <c r="T33" i="1"/>
  <c r="AW33" i="1"/>
  <c r="AV33" i="1"/>
  <c r="AU33" i="1"/>
  <c r="AT33" i="1"/>
  <c r="AS33" i="1"/>
  <c r="AE33" i="1"/>
  <c r="AD33" i="1"/>
  <c r="AC33" i="1"/>
  <c r="AB33" i="1"/>
  <c r="AA33" i="1"/>
  <c r="Y33" i="1"/>
  <c r="X33" i="1"/>
  <c r="W33" i="1"/>
  <c r="V33" i="1"/>
  <c r="U33" i="1"/>
  <c r="S33" i="1"/>
  <c r="R33" i="1"/>
  <c r="Q33" i="1"/>
  <c r="P33" i="1"/>
  <c r="O33" i="1"/>
  <c r="H33" i="1"/>
  <c r="D33" i="1"/>
  <c r="E33" i="1"/>
  <c r="F33" i="1"/>
  <c r="G33" i="1"/>
  <c r="C33" i="1"/>
  <c r="AF33" i="1"/>
  <c r="Z33" i="1"/>
  <c r="AX33" i="1"/>
  <c r="AT3" i="11"/>
  <c r="BC36" i="1" l="1"/>
  <c r="BC8" i="1" s="1"/>
  <c r="BD37" i="1"/>
  <c r="BD9" i="1" s="1"/>
  <c r="BG38" i="1"/>
  <c r="BG10" i="1" s="1"/>
  <c r="BD41" i="1"/>
  <c r="BD33" i="1"/>
  <c r="BD5" i="1" s="1"/>
  <c r="BC33" i="1"/>
  <c r="BC5" i="1" s="1"/>
  <c r="BG34" i="1"/>
  <c r="BG6" i="1" s="1"/>
  <c r="BC40" i="1"/>
  <c r="BG33" i="1"/>
  <c r="BG5" i="1" s="1"/>
  <c r="BO6" i="1" s="1"/>
  <c r="BC34" i="1"/>
  <c r="BC6" i="1" s="1"/>
  <c r="BD34" i="1"/>
  <c r="BD6" i="1" s="1"/>
  <c r="BC35" i="1"/>
  <c r="BC7" i="1" s="1"/>
  <c r="BD35" i="1"/>
  <c r="BD7" i="1" s="1"/>
  <c r="BG35" i="1"/>
  <c r="BG7" i="1" s="1"/>
  <c r="BD36" i="1"/>
  <c r="BD8" i="1" s="1"/>
  <c r="BG36" i="1"/>
  <c r="BG8" i="1" s="1"/>
  <c r="BC37" i="1"/>
  <c r="BC9" i="1" s="1"/>
  <c r="BG37" i="1"/>
  <c r="BG9" i="1" s="1"/>
  <c r="BO10" i="1" s="1"/>
  <c r="BC38" i="1"/>
  <c r="BC10" i="1" s="1"/>
  <c r="BD38" i="1"/>
  <c r="BD10" i="1" s="1"/>
  <c r="BC39" i="1"/>
  <c r="BC11" i="1" s="1"/>
  <c r="BD39" i="1"/>
  <c r="BD11" i="1" s="1"/>
  <c r="BG39" i="1"/>
  <c r="BG11" i="1" s="1"/>
  <c r="BD40" i="1"/>
  <c r="BD12" i="1" s="1"/>
  <c r="BG40" i="1"/>
  <c r="BG12" i="1" s="1"/>
  <c r="BO13" i="1" s="1"/>
  <c r="BC41" i="1"/>
  <c r="BG41" i="1"/>
  <c r="BG13" i="1" s="1"/>
  <c r="BE14" i="1"/>
  <c r="BP20" i="2"/>
  <c r="BP23" i="2"/>
  <c r="BP18" i="2"/>
  <c r="BP21" i="2"/>
  <c r="BP19" i="2"/>
  <c r="BP22" i="2"/>
  <c r="BD14" i="2"/>
  <c r="BH14" i="2"/>
  <c r="BP17" i="2"/>
  <c r="BF14" i="2"/>
  <c r="BE14" i="2"/>
  <c r="BC14" i="2"/>
  <c r="BA14" i="2"/>
  <c r="AL8" i="13"/>
  <c r="AZ34" i="1"/>
  <c r="AZ6" i="1" s="1"/>
  <c r="BB35" i="1"/>
  <c r="BB7" i="1" s="1"/>
  <c r="AZ36" i="1"/>
  <c r="AZ8" i="1" s="1"/>
  <c r="BB37" i="1"/>
  <c r="BB9" i="1" s="1"/>
  <c r="AZ38" i="1"/>
  <c r="BB39" i="1"/>
  <c r="AZ40" i="1"/>
  <c r="AZ33" i="1"/>
  <c r="AZ5" i="1" s="1"/>
  <c r="BB33" i="1"/>
  <c r="BB5" i="1" s="1"/>
  <c r="BB41" i="1"/>
  <c r="BB34" i="1"/>
  <c r="BB6" i="1" s="1"/>
  <c r="AZ35" i="1"/>
  <c r="AZ7" i="1" s="1"/>
  <c r="BB36" i="1"/>
  <c r="BB8" i="1" s="1"/>
  <c r="BB38" i="1"/>
  <c r="BB10" i="1" s="1"/>
  <c r="AZ39" i="1"/>
  <c r="BB40" i="1"/>
  <c r="AZ41" i="1"/>
  <c r="AZ37" i="1"/>
  <c r="AZ9" i="1" s="1"/>
  <c r="BO8" i="1" l="1"/>
  <c r="BC14" i="1"/>
  <c r="BD14" i="1"/>
  <c r="BO9" i="1"/>
  <c r="BO12" i="1"/>
  <c r="BO7" i="1"/>
  <c r="BO11" i="1"/>
  <c r="BH15" i="2"/>
  <c r="AZ14" i="1"/>
  <c r="BE15" i="1" s="1"/>
  <c r="BB14" i="1"/>
  <c r="H19" i="11"/>
  <c r="H18" i="11"/>
  <c r="N20" i="11"/>
  <c r="N19" i="11"/>
  <c r="N18" i="11"/>
  <c r="T20" i="11"/>
  <c r="T19" i="11"/>
  <c r="T18" i="11"/>
  <c r="AG20" i="11"/>
  <c r="AG19" i="11"/>
  <c r="AG18" i="11"/>
  <c r="AG21" i="11"/>
  <c r="I19" i="11"/>
  <c r="J19" i="11"/>
  <c r="K19" i="11"/>
  <c r="L19" i="11"/>
  <c r="M19" i="11"/>
  <c r="O19" i="11"/>
  <c r="P19" i="11"/>
  <c r="Q19" i="11"/>
  <c r="R19" i="11"/>
  <c r="S19" i="11"/>
  <c r="AC19" i="11"/>
  <c r="AD19" i="11"/>
  <c r="AE19" i="11"/>
  <c r="AF19" i="11"/>
  <c r="I20" i="11"/>
  <c r="J20" i="11"/>
  <c r="K20" i="11"/>
  <c r="L20" i="11"/>
  <c r="M20" i="11"/>
  <c r="O20" i="11"/>
  <c r="P20" i="11"/>
  <c r="Q20" i="11"/>
  <c r="R20" i="11"/>
  <c r="S20" i="11"/>
  <c r="AC20" i="11"/>
  <c r="AD20" i="11"/>
  <c r="AE20" i="11"/>
  <c r="AF20" i="11"/>
  <c r="AB21" i="11"/>
  <c r="AM6" i="11" s="1"/>
  <c r="AS6" i="11" s="1"/>
  <c r="AC21" i="11"/>
  <c r="AD21" i="11"/>
  <c r="AE21" i="11"/>
  <c r="AF21" i="11"/>
  <c r="I18" i="11"/>
  <c r="J18" i="11"/>
  <c r="K18" i="11"/>
  <c r="L18" i="11"/>
  <c r="M18" i="11"/>
  <c r="O18" i="11"/>
  <c r="P18" i="11"/>
  <c r="Q18" i="11"/>
  <c r="R18" i="11"/>
  <c r="S18" i="11"/>
  <c r="AC18" i="11"/>
  <c r="AD18" i="11"/>
  <c r="AE18" i="11"/>
  <c r="AF18" i="11"/>
  <c r="G18" i="11"/>
  <c r="F18" i="11"/>
  <c r="E18" i="11"/>
  <c r="D18" i="11"/>
  <c r="C18" i="11"/>
  <c r="D19" i="11"/>
  <c r="E19" i="11"/>
  <c r="F19" i="11"/>
  <c r="G19" i="11"/>
  <c r="C19" i="11"/>
  <c r="BO14" i="1" l="1"/>
  <c r="AM4" i="11"/>
  <c r="AS4" i="11" s="1"/>
  <c r="AM3" i="11"/>
  <c r="AM5" i="11"/>
  <c r="AS5" i="11" s="1"/>
  <c r="AK4" i="11"/>
  <c r="AK3" i="11"/>
  <c r="AK5" i="11"/>
  <c r="AJ4" i="11"/>
  <c r="AI4" i="11"/>
  <c r="AJ3" i="11"/>
  <c r="AJ5" i="11"/>
  <c r="AJ11" i="13"/>
  <c r="AJ10" i="12"/>
  <c r="AD12" i="10"/>
  <c r="AL12" i="9"/>
  <c r="AN14" i="8"/>
  <c r="AM15" i="7"/>
  <c r="AN13" i="6"/>
  <c r="AL19" i="5"/>
  <c r="AJ11" i="4"/>
  <c r="AM11" i="3"/>
  <c r="BV13" i="1"/>
  <c r="AS3" i="11" l="1"/>
  <c r="AS7" i="11" s="1"/>
  <c r="AS8" i="11" s="1"/>
  <c r="AM7" i="11"/>
  <c r="AT10" i="11" s="1"/>
  <c r="AT9" i="11"/>
  <c r="AM14" i="7"/>
  <c r="AN12" i="6"/>
  <c r="AL18" i="5"/>
  <c r="BF15" i="2"/>
  <c r="BD16" i="1"/>
  <c r="AO6" i="13"/>
  <c r="AO7" i="13" s="1"/>
  <c r="AN6" i="13"/>
  <c r="AN7" i="13" s="1"/>
  <c r="AQ6" i="12"/>
  <c r="AQ7" i="12" s="1"/>
  <c r="AP6" i="12"/>
  <c r="AP7" i="12" s="1"/>
  <c r="AO6" i="12"/>
  <c r="AO7" i="12" s="1"/>
  <c r="AN6" i="12"/>
  <c r="AN7" i="12" s="1"/>
  <c r="AM6" i="12"/>
  <c r="AM7" i="12" s="1"/>
  <c r="AH7" i="10"/>
  <c r="AH8" i="10" s="1"/>
  <c r="AI7" i="10"/>
  <c r="AI8" i="10" s="1"/>
  <c r="AJ7" i="10"/>
  <c r="AJ8" i="10" s="1"/>
  <c r="AK7" i="10"/>
  <c r="AG7" i="10"/>
  <c r="AG8" i="10" s="1"/>
  <c r="AK6" i="10"/>
  <c r="AQ6" i="9"/>
  <c r="AP6" i="9"/>
  <c r="AP8" i="9" s="1"/>
  <c r="AP10" i="5"/>
  <c r="AO10" i="5"/>
  <c r="AP9" i="5"/>
  <c r="AQ8" i="5"/>
  <c r="AP11" i="5"/>
  <c r="AO7" i="8"/>
  <c r="AL7" i="8"/>
  <c r="AL8" i="8" s="1"/>
  <c r="AO6" i="8"/>
  <c r="AQ8" i="7"/>
  <c r="AP8" i="7"/>
  <c r="AO8" i="7"/>
  <c r="AO9" i="7" s="1"/>
  <c r="AN8" i="7"/>
  <c r="AN9" i="7" s="1"/>
  <c r="AQ7" i="7"/>
  <c r="AQ5" i="6"/>
  <c r="AP6" i="6"/>
  <c r="AN7" i="9"/>
  <c r="AN8" i="9" s="1"/>
  <c r="AO7" i="9"/>
  <c r="AO8" i="9" s="1"/>
  <c r="AP7" i="9"/>
  <c r="AQ7" i="9"/>
  <c r="AM7" i="9"/>
  <c r="AM8" i="9" s="1"/>
  <c r="AF1" i="4"/>
  <c r="AO6" i="4"/>
  <c r="AM7" i="3"/>
  <c r="AM8" i="3" s="1"/>
  <c r="AF1" i="3"/>
  <c r="AF1" i="13"/>
  <c r="AF1" i="12"/>
  <c r="Z1" i="10"/>
  <c r="AF1" i="9"/>
  <c r="AF1" i="8"/>
  <c r="AW13" i="7"/>
  <c r="AF1" i="7"/>
  <c r="AF1" i="6"/>
  <c r="AZ13" i="5"/>
  <c r="AF1" i="5"/>
  <c r="AX5" i="11"/>
  <c r="AX4" i="11"/>
  <c r="AU4" i="11"/>
  <c r="AG1" i="11"/>
  <c r="AV3" i="11"/>
  <c r="AU3" i="11"/>
  <c r="AT7" i="11"/>
  <c r="AX3" i="11" l="1"/>
  <c r="AX7" i="11" s="1"/>
  <c r="AP6" i="13"/>
  <c r="AP7" i="13" s="1"/>
  <c r="AQ6" i="13"/>
  <c r="AQ7" i="13" s="1"/>
  <c r="AK8" i="10"/>
  <c r="AK9" i="10"/>
  <c r="AQ8" i="9"/>
  <c r="AQ9" i="9" s="1"/>
  <c r="AM7" i="8"/>
  <c r="AM8" i="8" s="1"/>
  <c r="AO8" i="8"/>
  <c r="AN7" i="8"/>
  <c r="AN8" i="8" s="1"/>
  <c r="AP7" i="7"/>
  <c r="AP9" i="7" s="1"/>
  <c r="AM8" i="7"/>
  <c r="AM9" i="7" s="1"/>
  <c r="AQ6" i="7"/>
  <c r="AQ9" i="7" s="1"/>
  <c r="AQ10" i="7" s="1"/>
  <c r="AM7" i="6"/>
  <c r="AM9" i="6" s="1"/>
  <c r="AQ7" i="6"/>
  <c r="AO9" i="5"/>
  <c r="AO11" i="5"/>
  <c r="AQ7" i="5"/>
  <c r="AQ10" i="5"/>
  <c r="AQ9" i="5"/>
  <c r="AN11" i="5"/>
  <c r="AN14" i="5" s="1"/>
  <c r="AQ11" i="5"/>
  <c r="AP8" i="5"/>
  <c r="AN10" i="5"/>
  <c r="AM11" i="5"/>
  <c r="AM14" i="5" s="1"/>
  <c r="AQ6" i="3"/>
  <c r="E20" i="16" s="1"/>
  <c r="I20" i="16" s="1"/>
  <c r="AP7" i="3"/>
  <c r="AP8" i="3" s="1"/>
  <c r="AP9" i="3" s="1"/>
  <c r="AU7" i="11"/>
  <c r="AU8" i="11" s="1"/>
  <c r="AQ8" i="12"/>
  <c r="AO7" i="6"/>
  <c r="AO9" i="6" s="1"/>
  <c r="AQ6" i="6"/>
  <c r="AQ9" i="6" s="1"/>
  <c r="AO7" i="3"/>
  <c r="AO8" i="3" s="1"/>
  <c r="AO9" i="3" s="1"/>
  <c r="AO7" i="4"/>
  <c r="AP7" i="6"/>
  <c r="AP9" i="6" s="1"/>
  <c r="AP10" i="6" s="1"/>
  <c r="AN7" i="4"/>
  <c r="AN6" i="4"/>
  <c r="E19" i="16" s="1"/>
  <c r="I19" i="16" s="1"/>
  <c r="AM7" i="4"/>
  <c r="AM8" i="4" s="1"/>
  <c r="AL7" i="4"/>
  <c r="AL8" i="4" s="1"/>
  <c r="AQ7" i="3"/>
  <c r="AV7" i="11"/>
  <c r="AN7" i="6"/>
  <c r="AN9" i="6" s="1"/>
  <c r="AN10" i="6" s="1"/>
  <c r="BU21" i="2"/>
  <c r="BU2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I49" i="2"/>
  <c r="BI30" i="2"/>
  <c r="BK43" i="2"/>
  <c r="BC56" i="2"/>
  <c r="BC55" i="2"/>
  <c r="BD52" i="2"/>
  <c r="BD53" i="2" s="1"/>
  <c r="BD54" i="2" s="1"/>
  <c r="AW1" i="2"/>
  <c r="AQ8" i="13" l="1"/>
  <c r="E24" i="16"/>
  <c r="I24" i="16" s="1"/>
  <c r="I16" i="16"/>
  <c r="AQ8" i="3"/>
  <c r="AQ9" i="3" s="1"/>
  <c r="AO9" i="8"/>
  <c r="E22" i="16"/>
  <c r="AO10" i="6"/>
  <c r="AQ10" i="6"/>
  <c r="AN15" i="5"/>
  <c r="AO8" i="4"/>
  <c r="AO9" i="4" s="1"/>
  <c r="AV8" i="11"/>
  <c r="AX8" i="11" s="1"/>
  <c r="AN8" i="4"/>
  <c r="BK51" i="2"/>
  <c r="AQ14" i="5"/>
  <c r="AQ15" i="5" s="1"/>
  <c r="AO14" i="5"/>
  <c r="AO15" i="5" s="1"/>
  <c r="AP14" i="5"/>
  <c r="AP15" i="5" s="1"/>
  <c r="BP16" i="2"/>
  <c r="BL12" i="2"/>
  <c r="BN11" i="2"/>
  <c r="BI11" i="2"/>
  <c r="BL10" i="2"/>
  <c r="I22" i="16" l="1"/>
  <c r="BK11" i="2"/>
  <c r="BM10" i="2"/>
  <c r="BM12" i="2"/>
  <c r="BP26" i="2"/>
  <c r="BI10" i="2"/>
  <c r="BN10" i="2"/>
  <c r="BL11" i="2"/>
  <c r="BI12" i="2"/>
  <c r="BN12" i="2"/>
  <c r="BK10" i="2"/>
  <c r="BP10" i="2"/>
  <c r="BM11" i="2"/>
  <c r="BK12" i="2"/>
  <c r="BP11" i="2"/>
  <c r="BP12" i="2"/>
  <c r="BP9" i="2"/>
  <c r="BN9" i="2"/>
  <c r="BM9" i="2"/>
  <c r="BK9" i="2"/>
  <c r="BL9" i="2"/>
  <c r="BI9" i="2"/>
  <c r="BK8" i="2" l="1"/>
  <c r="BK14" i="2" s="1"/>
  <c r="BI8" i="2"/>
  <c r="BI14" i="2" s="1"/>
  <c r="BL8" i="2"/>
  <c r="BL14" i="2" s="1"/>
  <c r="BN6" i="2"/>
  <c r="AX1" i="1"/>
  <c r="BL12" i="1"/>
  <c r="BL15" i="2" l="1"/>
  <c r="BK15" i="2"/>
  <c r="BP4" i="2"/>
  <c r="BM7" i="2"/>
  <c r="BM8" i="2"/>
  <c r="BN8" i="2"/>
  <c r="BN7" i="2"/>
  <c r="BP5" i="2"/>
  <c r="BP6" i="2"/>
  <c r="BP7" i="2"/>
  <c r="BP8" i="2"/>
  <c r="BK11" i="1"/>
  <c r="BM11" i="1"/>
  <c r="BU10" i="1" s="1"/>
  <c r="BM12" i="1"/>
  <c r="BU11" i="1" s="1"/>
  <c r="BL11" i="1"/>
  <c r="BM10" i="1"/>
  <c r="BU9" i="1" s="1"/>
  <c r="E13" i="16" l="1"/>
  <c r="I13" i="16" s="1"/>
  <c r="E15" i="16"/>
  <c r="BN14" i="2"/>
  <c r="BN15" i="2" s="1"/>
  <c r="BP14" i="2"/>
  <c r="BP15" i="2" s="1"/>
  <c r="BM14" i="2"/>
  <c r="BM15" i="2" s="1"/>
  <c r="BL10" i="1"/>
  <c r="BK10" i="1"/>
  <c r="BM9" i="1"/>
  <c r="BU8" i="1" s="1"/>
  <c r="I15" i="16" l="1"/>
  <c r="E26" i="16"/>
  <c r="E27" i="16" s="1"/>
  <c r="BP27" i="2"/>
  <c r="BJ6" i="1"/>
  <c r="BH6" i="1"/>
  <c r="BH8" i="1"/>
  <c r="BK9" i="1"/>
  <c r="BL6" i="1"/>
  <c r="BJ8" i="1"/>
  <c r="BL9" i="1"/>
  <c r="BK6" i="1"/>
  <c r="BK8" i="1"/>
  <c r="BJ10" i="1"/>
  <c r="BJ7" i="1"/>
  <c r="BH7" i="1"/>
  <c r="BH9" i="1"/>
  <c r="BL8" i="1"/>
  <c r="BM8" i="1"/>
  <c r="BU7" i="1" s="1"/>
  <c r="BK7" i="1"/>
  <c r="BM7" i="1"/>
  <c r="BU6" i="1" s="1"/>
  <c r="BM6" i="1"/>
  <c r="BU5" i="1" s="1"/>
  <c r="BL7" i="1"/>
  <c r="BJ9" i="1"/>
  <c r="L27" i="16" l="1"/>
  <c r="I26" i="16"/>
  <c r="I27" i="16" s="1"/>
  <c r="BR18" i="2"/>
  <c r="BM14" i="1"/>
  <c r="BJ14" i="1"/>
  <c r="BK14" i="1"/>
  <c r="BL14" i="1"/>
  <c r="BH14" i="1"/>
  <c r="BN15" i="1" l="1"/>
  <c r="BO15" i="1"/>
  <c r="BJ15" i="1"/>
  <c r="BK15" i="1"/>
  <c r="BL15" i="1"/>
  <c r="BM15" i="1"/>
</calcChain>
</file>

<file path=xl/comments1.xml><?xml version="1.0" encoding="utf-8"?>
<comments xmlns="http://schemas.openxmlformats.org/spreadsheetml/2006/main">
  <authors>
    <author>Author</author>
  </authors>
  <commentList>
    <comment ref="AR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AO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AR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AR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13.xml><?xml version="1.0" encoding="utf-8"?>
<comments xmlns="http://schemas.openxmlformats.org/spreadsheetml/2006/main">
  <authors>
    <author>Author</author>
  </authors>
  <commentList>
    <comment ref="L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no chznge</t>
        </r>
      </text>
    </comment>
  </commentList>
</comments>
</file>

<file path=xl/comments14.xml><?xml version="1.0" encoding="utf-8"?>
<comments xmlns="http://schemas.openxmlformats.org/spreadsheetml/2006/main">
  <authors>
    <author>Author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Tg gully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Asse gully
</t>
        </r>
      </text>
    </comment>
  </commentList>
</comments>
</file>

<file path=xl/comments15.xml><?xml version="1.0" encoding="utf-8"?>
<comments xmlns="http://schemas.openxmlformats.org/spreadsheetml/2006/main">
  <authors>
    <author>Author</author>
  </authors>
  <commentList>
    <comment ref="H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ERROR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CORRECTED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P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AY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calculated using integration method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AR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AV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BQ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AT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
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BP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AR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integration method
</t>
        </r>
      </text>
    </comment>
  </commentList>
</comments>
</file>

<file path=xl/sharedStrings.xml><?xml version="1.0" encoding="utf-8"?>
<sst xmlns="http://schemas.openxmlformats.org/spreadsheetml/2006/main" count="1522" uniqueCount="187">
  <si>
    <t>21/10/2005</t>
  </si>
  <si>
    <t>13/12/2005</t>
  </si>
  <si>
    <t>25/12/2005</t>
  </si>
  <si>
    <t>S1</t>
  </si>
  <si>
    <t>S2</t>
  </si>
  <si>
    <t>S3</t>
  </si>
  <si>
    <t>S4</t>
  </si>
  <si>
    <t>S5</t>
  </si>
  <si>
    <t>S6</t>
  </si>
  <si>
    <t>C1</t>
  </si>
  <si>
    <t>W</t>
  </si>
  <si>
    <t>H</t>
  </si>
  <si>
    <t>L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</si>
  <si>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</si>
  <si>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</si>
  <si>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</si>
  <si>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</si>
  <si>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</si>
  <si>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</si>
  <si>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</si>
  <si>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</si>
  <si>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</si>
  <si>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</si>
  <si>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</si>
  <si>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</si>
  <si>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</si>
  <si>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</si>
  <si>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</si>
  <si>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</si>
  <si>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</si>
  <si>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</si>
  <si>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CSA1</t>
  </si>
  <si>
    <t>CSA2</t>
  </si>
  <si>
    <t>CSA3</t>
  </si>
  <si>
    <t>CSA4</t>
  </si>
  <si>
    <t>CSA5</t>
  </si>
  <si>
    <t>CROSS-SECTIONAL AREA (m2)</t>
  </si>
  <si>
    <t>V1</t>
  </si>
  <si>
    <t>V2</t>
  </si>
  <si>
    <t>V3</t>
  </si>
  <si>
    <t>V4</t>
  </si>
  <si>
    <t>V5</t>
  </si>
  <si>
    <t>VOLUME (m3)</t>
  </si>
  <si>
    <t>C20</t>
  </si>
  <si>
    <t>CSA6</t>
  </si>
  <si>
    <t>V6</t>
  </si>
  <si>
    <t>CHANGE</t>
  </si>
  <si>
    <t>TOTAL V1</t>
  </si>
  <si>
    <t>TOTAL V2</t>
  </si>
  <si>
    <t>V1 +V2</t>
  </si>
  <si>
    <t>CHANNAL LENGTH (m)</t>
  </si>
  <si>
    <t>ave ht (m)</t>
  </si>
  <si>
    <t>surface area (m2)</t>
  </si>
  <si>
    <t>area (ha)</t>
  </si>
  <si>
    <t>DEPTH (m)</t>
  </si>
  <si>
    <t>WIDTH (m)</t>
  </si>
  <si>
    <t>CORREL</t>
  </si>
  <si>
    <t>V/D</t>
  </si>
  <si>
    <t>V/W</t>
  </si>
  <si>
    <t>WATER TABLE DEPTH</t>
  </si>
  <si>
    <t>Total oss</t>
  </si>
  <si>
    <t>loss in 2013</t>
  </si>
  <si>
    <t>particl density (kg/m3)</t>
  </si>
  <si>
    <t>tone</t>
  </si>
  <si>
    <t>m3</t>
  </si>
  <si>
    <t>WT</t>
  </si>
  <si>
    <t>DEPTH</t>
  </si>
  <si>
    <t>c1</t>
  </si>
  <si>
    <t>c2</t>
  </si>
  <si>
    <t>c3</t>
  </si>
  <si>
    <t>c4</t>
  </si>
  <si>
    <t>channal change = c6+c7+c8+c9</t>
  </si>
  <si>
    <t>channal change = c17+c18+c19+c20</t>
  </si>
  <si>
    <t>channal change = C3+C4+C5+C6</t>
  </si>
  <si>
    <t>Channal length = c3 + c4</t>
  </si>
  <si>
    <t>channal change = c3+c4</t>
  </si>
  <si>
    <t>channal change = c3 + c4</t>
  </si>
  <si>
    <t xml:space="preserve">channal change </t>
  </si>
  <si>
    <t>ave depth</t>
  </si>
  <si>
    <t>ave depth =</t>
  </si>
  <si>
    <t xml:space="preserve">ave depth = </t>
  </si>
  <si>
    <t xml:space="preserve">ave depth </t>
  </si>
  <si>
    <t>ave depth=</t>
  </si>
  <si>
    <t>Commulative head cut retreat</t>
  </si>
  <si>
    <t>ave new head depth (m)</t>
  </si>
  <si>
    <t>Total</t>
  </si>
  <si>
    <t>TOTAL</t>
  </si>
  <si>
    <t>Area (m2)</t>
  </si>
  <si>
    <t>Volume (m3)</t>
  </si>
  <si>
    <t>GULLY NAME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</si>
  <si>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</si>
  <si>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</si>
  <si>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</si>
  <si>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</si>
  <si>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</si>
  <si>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</si>
  <si>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</si>
  <si>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</si>
  <si>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</si>
  <si>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</si>
  <si>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</si>
  <si>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</si>
  <si>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</si>
  <si>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Narrow gully above the gully head</t>
  </si>
  <si>
    <t>Ave water table depth (m)</t>
  </si>
  <si>
    <t>Date</t>
  </si>
  <si>
    <t>reading 1</t>
  </si>
  <si>
    <t>reading 2</t>
  </si>
  <si>
    <t>reading3</t>
  </si>
  <si>
    <t>reading4</t>
  </si>
  <si>
    <t>V (eadcut)</t>
  </si>
  <si>
    <t>Clay Content (%)</t>
  </si>
  <si>
    <t>Porosity (%)</t>
  </si>
  <si>
    <t>depth (m)</t>
  </si>
  <si>
    <t>RCA (ha)</t>
  </si>
  <si>
    <t>Linear retreat  (m)</t>
  </si>
  <si>
    <t>PWP (kPa)</t>
  </si>
  <si>
    <t>PWP (m)</t>
  </si>
  <si>
    <t>p_g=-g_w d_w ,</t>
  </si>
  <si>
    <t>Pg= -gw*dw</t>
  </si>
  <si>
    <t>where:</t>
  </si>
  <si>
    <t>pg is the unsaturated pore water pressure (Pa) at ground level,</t>
  </si>
  <si>
    <t>gw is the unit weight of water (kN/m3),</t>
  </si>
  <si>
    <t xml:space="preserve">g_w=9.81 kN/m^3 </t>
  </si>
  <si>
    <t>dw is the depth of the water table (m),</t>
  </si>
  <si>
    <t>and the pore pressure at depth, z, below the surface is:</t>
  </si>
  <si>
    <t>p_u=-g_w (z-d_w) ,</t>
  </si>
  <si>
    <t>pu is the unsaturated pore water pressure (Pa) at point, z, below ground level,</t>
  </si>
  <si>
    <t>zu is depth below ground level.</t>
  </si>
  <si>
    <r>
      <t>g</t>
    </r>
    <r>
      <rPr>
        <vertAlign val="subscript"/>
        <sz val="11"/>
        <color theme="1"/>
        <rFont val="Calibri"/>
        <family val="2"/>
        <scheme val="minor"/>
      </rPr>
      <t>w</t>
    </r>
  </si>
  <si>
    <r>
      <t>KN 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</si>
  <si>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d</t>
    </r>
    <r>
      <rPr>
        <vertAlign val="subscript"/>
        <sz val="11"/>
        <color theme="1"/>
        <rFont val="Calibri"/>
        <family val="2"/>
        <scheme val="minor"/>
      </rPr>
      <t>w</t>
    </r>
  </si>
  <si>
    <t>min. water table depth (m)</t>
  </si>
  <si>
    <t>Ave. headcut depth (m)</t>
  </si>
  <si>
    <r>
      <t>Volume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</si>
  <si>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 xml:space="preserve"> BD (g 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</si>
  <si>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Min. water table depth (m)</t>
  </si>
  <si>
    <t>V-L</t>
  </si>
  <si>
    <t>PBIAS</t>
  </si>
  <si>
    <t>NSE</t>
  </si>
  <si>
    <t>D</t>
  </si>
  <si>
    <t>RF</t>
  </si>
  <si>
    <t>DATE</t>
  </si>
  <si>
    <t>R</t>
  </si>
  <si>
    <t>R2</t>
  </si>
  <si>
    <t>EVENT</t>
  </si>
  <si>
    <t>Head cut retreat A (2013)</t>
  </si>
  <si>
    <t>Head cut retreat V (2013)</t>
  </si>
  <si>
    <t>Head cut retreat V (2014)</t>
  </si>
  <si>
    <t>Head cut retreat A (2014)</t>
  </si>
  <si>
    <t>Total measured</t>
  </si>
  <si>
    <t>SUM (m2)</t>
  </si>
  <si>
    <t>2013+2014</t>
  </si>
  <si>
    <t>SUM (m3)</t>
  </si>
  <si>
    <t>A</t>
  </si>
  <si>
    <t>Headcut depth</t>
  </si>
  <si>
    <t>AVE</t>
  </si>
  <si>
    <t>correl-L</t>
  </si>
  <si>
    <t>correl-V</t>
  </si>
  <si>
    <t>Ave. headcut depth (M)</t>
  </si>
  <si>
    <t>CUMU</t>
  </si>
  <si>
    <t>RETREAT (L)</t>
  </si>
  <si>
    <t>BETWEEN  MEASUREMENTS</t>
  </si>
  <si>
    <t>Correl daily RF</t>
  </si>
  <si>
    <t>Corrsemi cum RF</t>
  </si>
  <si>
    <t>corr cum RF</t>
  </si>
  <si>
    <t>Day2-day1</t>
  </si>
  <si>
    <t>Day3-day2</t>
  </si>
  <si>
    <t>Day4-day3</t>
  </si>
  <si>
    <t>Day5-day4</t>
  </si>
  <si>
    <t>Day6-day5</t>
  </si>
  <si>
    <t>CSA7</t>
  </si>
  <si>
    <t>CSA8</t>
  </si>
  <si>
    <t>V7</t>
  </si>
  <si>
    <t>V8</t>
  </si>
  <si>
    <t>Day 7-day6</t>
  </si>
  <si>
    <t>Day8-day7</t>
  </si>
  <si>
    <t>ave W</t>
  </si>
  <si>
    <t>Ave D</t>
  </si>
  <si>
    <t>P-VALU</t>
  </si>
  <si>
    <t>DA (ha)</t>
  </si>
  <si>
    <t>SDV</t>
  </si>
  <si>
    <t>Cumulative</t>
  </si>
  <si>
    <t>sum</t>
  </si>
  <si>
    <t>Correl with daily RF</t>
  </si>
  <si>
    <t>Correl with semi cum RF</t>
  </si>
  <si>
    <t>DRF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</si>
</sst>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Border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2" borderId="12" xfId="0" applyFill="1" applyBorder="1"/>
    <xf numFmtId="0" fontId="0" fillId="2" borderId="0" xfId="0" applyFill="1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2" borderId="10" xfId="0" applyFill="1" applyBorder="1"/>
    <xf numFmtId="0" fontId="0" fillId="0" borderId="5" xfId="0" applyBorder="1"/>
    <xf numFmtId="0" fontId="0" fillId="0" borderId="5" xfId="0" applyFill="1" applyBorder="1"/>
    <xf numFmtId="0" fontId="0" fillId="0" borderId="7" xfId="0" applyFill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8" xfId="0" applyFill="1" applyBorder="1"/>
    <xf numFmtId="0" fontId="0" fillId="0" borderId="1" xfId="0" applyFill="1" applyBorder="1"/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2" fontId="0" fillId="0" borderId="5" xfId="0" applyNumberFormat="1" applyBorder="1"/>
    <xf numFmtId="164" fontId="0" fillId="0" borderId="0" xfId="0" applyNumberFormat="1" applyBorder="1"/>
    <xf numFmtId="164" fontId="0" fillId="0" borderId="7" xfId="0" applyNumberFormat="1" applyBorder="1"/>
    <xf numFmtId="164" fontId="0" fillId="0" borderId="5" xfId="0" applyNumberFormat="1" applyBorder="1"/>
    <xf numFmtId="164" fontId="2" fillId="0" borderId="0" xfId="0" applyNumberFormat="1" applyFont="1" applyBorder="1"/>
    <xf numFmtId="0" fontId="0" fillId="2" borderId="5" xfId="0" applyFill="1" applyBorder="1"/>
    <xf numFmtId="0" fontId="0" fillId="2" borderId="8" xfId="0" applyFill="1" applyBorder="1"/>
    <xf numFmtId="164" fontId="0" fillId="0" borderId="11" xfId="0" applyNumberFormat="1" applyBorder="1"/>
    <xf numFmtId="0" fontId="0" fillId="2" borderId="7" xfId="0" applyFill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11" xfId="0" applyNumberFormat="1" applyBorder="1"/>
    <xf numFmtId="0" fontId="0" fillId="0" borderId="0" xfId="0" applyAlignment="1">
      <alignment vertical="center"/>
    </xf>
    <xf numFmtId="0" fontId="2" fillId="0" borderId="0" xfId="0" applyFont="1" applyBorder="1"/>
    <xf numFmtId="0" fontId="3" fillId="2" borderId="5" xfId="0" applyFont="1" applyFill="1" applyBorder="1"/>
    <xf numFmtId="0" fontId="3" fillId="2" borderId="0" xfId="0" applyFont="1" applyFill="1" applyBorder="1"/>
    <xf numFmtId="2" fontId="3" fillId="2" borderId="5" xfId="0" applyNumberFormat="1" applyFont="1" applyFill="1" applyBorder="1"/>
    <xf numFmtId="2" fontId="3" fillId="2" borderId="0" xfId="0" applyNumberFormat="1" applyFont="1" applyFill="1" applyBorder="1"/>
    <xf numFmtId="2" fontId="0" fillId="2" borderId="0" xfId="0" applyNumberFormat="1" applyFill="1" applyBorder="1"/>
    <xf numFmtId="2" fontId="0" fillId="0" borderId="7" xfId="0" applyNumberFormat="1" applyFill="1" applyBorder="1"/>
    <xf numFmtId="0" fontId="4" fillId="0" borderId="0" xfId="0" applyFont="1" applyBorder="1"/>
    <xf numFmtId="0" fontId="2" fillId="0" borderId="3" xfId="0" applyFont="1" applyBorder="1"/>
    <xf numFmtId="164" fontId="4" fillId="0" borderId="4" xfId="0" applyNumberFormat="1" applyFont="1" applyBorder="1"/>
    <xf numFmtId="2" fontId="0" fillId="0" borderId="4" xfId="0" applyNumberFormat="1" applyBorder="1"/>
    <xf numFmtId="1" fontId="0" fillId="0" borderId="0" xfId="0" applyNumberFormat="1" applyAlignment="1">
      <alignment horizontal="center"/>
    </xf>
    <xf numFmtId="165" fontId="0" fillId="0" borderId="0" xfId="0" applyNumberFormat="1"/>
    <xf numFmtId="0" fontId="0" fillId="3" borderId="0" xfId="0" applyFill="1"/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 readingOrder="1"/>
    </xf>
    <xf numFmtId="14" fontId="0" fillId="0" borderId="0" xfId="0" applyNumberFormat="1" applyFill="1"/>
    <xf numFmtId="14" fontId="0" fillId="0" borderId="1" xfId="0" applyNumberFormat="1" applyBorder="1"/>
    <xf numFmtId="14" fontId="0" fillId="0" borderId="3" xfId="0" applyNumberFormat="1" applyFill="1" applyBorder="1"/>
    <xf numFmtId="14" fontId="0" fillId="0" borderId="3" xfId="0" applyNumberFormat="1" applyBorder="1"/>
    <xf numFmtId="14" fontId="0" fillId="0" borderId="4" xfId="0" applyNumberFormat="1" applyBorder="1"/>
    <xf numFmtId="0" fontId="0" fillId="4" borderId="0" xfId="0" applyFill="1"/>
    <xf numFmtId="0" fontId="0" fillId="2" borderId="0" xfId="0" applyFill="1"/>
    <xf numFmtId="164" fontId="0" fillId="4" borderId="0" xfId="0" applyNumberFormat="1" applyFill="1"/>
    <xf numFmtId="1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15" xfId="0" applyFill="1" applyBorder="1"/>
    <xf numFmtId="0" fontId="1" fillId="5" borderId="1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Fill="1" applyBorder="1"/>
    <xf numFmtId="164" fontId="0" fillId="0" borderId="0" xfId="0" applyNumberFormat="1" applyFill="1" applyBorder="1"/>
    <xf numFmtId="164" fontId="2" fillId="0" borderId="0" xfId="0" applyNumberFormat="1" applyFont="1" applyFill="1" applyBorder="1"/>
    <xf numFmtId="164" fontId="0" fillId="0" borderId="7" xfId="0" applyNumberFormat="1" applyFill="1" applyBorder="1"/>
    <xf numFmtId="0" fontId="0" fillId="0" borderId="10" xfId="0" applyFill="1" applyBorder="1"/>
    <xf numFmtId="164" fontId="0" fillId="0" borderId="11" xfId="0" applyNumberFormat="1" applyFill="1" applyBorder="1"/>
    <xf numFmtId="2" fontId="0" fillId="5" borderId="5" xfId="0" applyNumberFormat="1" applyFill="1" applyBorder="1"/>
    <xf numFmtId="164" fontId="0" fillId="5" borderId="0" xfId="0" applyNumberFormat="1" applyFill="1" applyBorder="1"/>
    <xf numFmtId="2" fontId="0" fillId="5" borderId="0" xfId="0" applyNumberFormat="1" applyFill="1" applyBorder="1"/>
    <xf numFmtId="2" fontId="0" fillId="2" borderId="7" xfId="0" applyNumberFormat="1" applyFill="1" applyBorder="1"/>
    <xf numFmtId="164" fontId="4" fillId="0" borderId="0" xfId="0" applyNumberFormat="1" applyFont="1" applyBorder="1"/>
    <xf numFmtId="2" fontId="0" fillId="6" borderId="0" xfId="0" applyNumberFormat="1" applyFill="1" applyBorder="1"/>
    <xf numFmtId="2" fontId="0" fillId="6" borderId="5" xfId="0" applyNumberFormat="1" applyFill="1" applyBorder="1"/>
    <xf numFmtId="2" fontId="0" fillId="6" borderId="7" xfId="0" applyNumberFormat="1" applyFill="1" applyBorder="1"/>
    <xf numFmtId="0" fontId="0" fillId="6" borderId="0" xfId="0" applyFill="1"/>
    <xf numFmtId="0" fontId="0" fillId="6" borderId="5" xfId="0" applyFill="1" applyBorder="1"/>
    <xf numFmtId="0" fontId="0" fillId="6" borderId="0" xfId="0" applyFill="1" applyBorder="1"/>
    <xf numFmtId="164" fontId="0" fillId="6" borderId="7" xfId="0" applyNumberFormat="1" applyFill="1" applyBorder="1"/>
    <xf numFmtId="0" fontId="0" fillId="6" borderId="8" xfId="0" applyFill="1" applyBorder="1"/>
    <xf numFmtId="0" fontId="0" fillId="6" borderId="10" xfId="0" applyFill="1" applyBorder="1"/>
    <xf numFmtId="164" fontId="0" fillId="6" borderId="11" xfId="0" applyNumberFormat="1" applyFill="1" applyBorder="1"/>
    <xf numFmtId="2" fontId="0" fillId="6" borderId="11" xfId="0" applyNumberFormat="1" applyFill="1" applyBorder="1"/>
    <xf numFmtId="164" fontId="0" fillId="6" borderId="0" xfId="0" applyNumberFormat="1" applyFill="1" applyBorder="1"/>
    <xf numFmtId="0" fontId="0" fillId="6" borderId="7" xfId="0" applyFill="1" applyBorder="1"/>
    <xf numFmtId="164" fontId="0" fillId="6" borderId="5" xfId="0" applyNumberFormat="1" applyFill="1" applyBorder="1"/>
    <xf numFmtId="0" fontId="1" fillId="6" borderId="1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distributed" vertical="distributed"/>
    </xf>
    <xf numFmtId="0" fontId="0" fillId="0" borderId="0" xfId="0" applyAlignment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2" fontId="1" fillId="0" borderId="0" xfId="0" applyNumberFormat="1" applyFont="1"/>
    <xf numFmtId="0" fontId="4" fillId="0" borderId="0" xfId="0" applyFont="1"/>
    <xf numFmtId="0" fontId="4" fillId="4" borderId="0" xfId="0" applyFont="1" applyFill="1"/>
    <xf numFmtId="14" fontId="0" fillId="0" borderId="0" xfId="0" applyNumberFormat="1" applyBorder="1"/>
    <xf numFmtId="164" fontId="1" fillId="0" borderId="0" xfId="0" applyNumberFormat="1" applyFont="1"/>
    <xf numFmtId="14" fontId="0" fillId="0" borderId="0" xfId="0" applyNumberFormat="1" applyBorder="1" applyAlignment="1">
      <alignment horizontal="distributed" vertical="distributed"/>
    </xf>
    <xf numFmtId="0" fontId="0" fillId="0" borderId="0" xfId="0" applyBorder="1" applyAlignment="1">
      <alignment horizontal="distributed" vertical="distributed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7" borderId="0" xfId="0" applyFill="1" applyBorder="1"/>
    <xf numFmtId="2" fontId="2" fillId="0" borderId="0" xfId="0" applyNumberFormat="1" applyFont="1"/>
    <xf numFmtId="164" fontId="2" fillId="0" borderId="0" xfId="0" applyNumberFormat="1" applyFont="1"/>
    <xf numFmtId="2" fontId="0" fillId="0" borderId="0" xfId="0" applyNumberFormat="1" applyFill="1"/>
    <xf numFmtId="11" fontId="0" fillId="0" borderId="0" xfId="0" applyNumberFormat="1"/>
    <xf numFmtId="0" fontId="0" fillId="0" borderId="0" xfId="0" applyAlignment="1">
      <alignment horizontal="center"/>
    </xf>
    <xf numFmtId="14" fontId="0" fillId="2" borderId="0" xfId="0" applyNumberFormat="1" applyFill="1" applyBorder="1"/>
    <xf numFmtId="0" fontId="0" fillId="0" borderId="0" xfId="0" applyAlignment="1">
      <alignment horizontal="center"/>
    </xf>
    <xf numFmtId="0" fontId="0" fillId="8" borderId="0" xfId="0" applyFill="1"/>
    <xf numFmtId="0" fontId="0" fillId="9" borderId="0" xfId="0" applyFill="1"/>
    <xf numFmtId="2" fontId="0" fillId="10" borderId="5" xfId="0" applyNumberFormat="1" applyFill="1" applyBorder="1"/>
    <xf numFmtId="0" fontId="0" fillId="0" borderId="5" xfId="0" applyBorder="1" applyAlignment="1">
      <alignment horizontal="distributed" vertical="distributed"/>
    </xf>
    <xf numFmtId="0" fontId="0" fillId="0" borderId="7" xfId="0" applyBorder="1" applyAlignment="1">
      <alignment horizontal="distributed" vertical="distributed"/>
    </xf>
    <xf numFmtId="1" fontId="0" fillId="0" borderId="1" xfId="0" applyNumberFormat="1" applyBorder="1"/>
    <xf numFmtId="0" fontId="0" fillId="0" borderId="0" xfId="0" applyAlignment="1">
      <alignment horizontal="center"/>
    </xf>
    <xf numFmtId="14" fontId="2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distributed" vertical="distributed"/>
    </xf>
    <xf numFmtId="0" fontId="0" fillId="0" borderId="0" xfId="0" applyBorder="1" applyAlignment="1"/>
    <xf numFmtId="2" fontId="0" fillId="0" borderId="10" xfId="0" applyNumberForma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11" borderId="5" xfId="0" applyFont="1" applyFill="1" applyBorder="1" applyAlignment="1">
      <alignment vertical="center"/>
    </xf>
    <xf numFmtId="2" fontId="0" fillId="11" borderId="5" xfId="0" applyNumberFormat="1" applyFill="1" applyBorder="1"/>
    <xf numFmtId="14" fontId="0" fillId="11" borderId="3" xfId="0" applyNumberFormat="1" applyFill="1" applyBorder="1"/>
    <xf numFmtId="0" fontId="0" fillId="11" borderId="0" xfId="0" applyFill="1"/>
    <xf numFmtId="2" fontId="0" fillId="0" borderId="0" xfId="0" applyNumberFormat="1" applyFill="1" applyBorder="1"/>
    <xf numFmtId="1" fontId="0" fillId="6" borderId="0" xfId="0" applyNumberFormat="1" applyFill="1" applyBorder="1"/>
    <xf numFmtId="1" fontId="0" fillId="0" borderId="0" xfId="0" applyNumberFormat="1" applyBorder="1"/>
    <xf numFmtId="165" fontId="0" fillId="0" borderId="0" xfId="0" applyNumberForma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5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distributed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V (m3)</c:v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'G6'!$BI$2:$BP$2</c:f>
              <c:strCache>
                <c:ptCount val="8"/>
                <c:pt idx="0">
                  <c:v>6/28/2013</c:v>
                </c:pt>
                <c:pt idx="2">
                  <c:v>7/23/2013</c:v>
                </c:pt>
                <c:pt idx="3">
                  <c:v>8/5/2013</c:v>
                </c:pt>
                <c:pt idx="4">
                  <c:v>13/12/2005</c:v>
                </c:pt>
                <c:pt idx="5">
                  <c:v>8/30/2013</c:v>
                </c:pt>
                <c:pt idx="7">
                  <c:v>9/18/2013</c:v>
                </c:pt>
              </c:strCache>
            </c:strRef>
          </c:cat>
          <c:val>
            <c:numRef>
              <c:f>'G6'!$BI$14:$BP$14</c:f>
              <c:numCache>
                <c:formatCode>0.00</c:formatCode>
                <c:ptCount val="8"/>
                <c:pt idx="0">
                  <c:v>1268.3152499999999</c:v>
                </c:pt>
                <c:pt idx="1">
                  <c:v>1270.0919999999999</c:v>
                </c:pt>
                <c:pt idx="2">
                  <c:v>1434.4614500000002</c:v>
                </c:pt>
                <c:pt idx="3">
                  <c:v>1534.23</c:v>
                </c:pt>
                <c:pt idx="4">
                  <c:v>2430.6984749999997</c:v>
                </c:pt>
                <c:pt idx="5">
                  <c:v>2926.4331499999998</c:v>
                </c:pt>
                <c:pt idx="6">
                  <c:v>3453.6379999999999</c:v>
                </c:pt>
                <c:pt idx="7">
                  <c:v>3586.875</c:v>
                </c:pt>
              </c:numCache>
            </c:numRef>
          </c:val>
        </c:ser>
        <c:ser>
          <c:idx val="1"/>
          <c:order val="1"/>
          <c:tx>
            <c:v>Change (v)</c:v>
          </c:tx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'G6'!$BI$15:$BP$15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 formatCode="0.00">
                  <c:v>166.14620000000036</c:v>
                </c:pt>
                <c:pt idx="3" formatCode="0.00">
                  <c:v>265.91475000000014</c:v>
                </c:pt>
                <c:pt idx="4" formatCode="0.00">
                  <c:v>1162.3832249999998</c:v>
                </c:pt>
                <c:pt idx="5" formatCode="0.00">
                  <c:v>1658.1179</c:v>
                </c:pt>
                <c:pt idx="6" formatCode="0.00">
                  <c:v>2185.3227500000003</c:v>
                </c:pt>
                <c:pt idx="7" formatCode="0.00">
                  <c:v>2318.5597500000003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930304"/>
        <c:axId val="1607936288"/>
      </c:barChart>
      <c:catAx>
        <c:axId val="16079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36288"/>
        <c:crosses val="autoZero"/>
        <c:auto val="1"/>
        <c:lblAlgn val="ctr"/>
        <c:lblOffset val="100"/>
        <c:noMultiLvlLbl val="0"/>
      </c:catAx>
      <c:valAx>
        <c:axId val="1607936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Volume (m3)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93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L-D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CORRELations!$K$2</c:f>
              <c:strCache>
                <c:ptCount val="1"/>
                <c:pt idx="0">
                  <c:v>Linear retreat  (m)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6850200710205344E-2"/>
                  <c:y val="-0.235332093904928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CORRELations!$I$4:$I$16</c:f>
              <c:numCache>
                <c:formatCode>0.0</c:formatCode>
                <c:ptCount val="13"/>
                <c:pt idx="0">
                  <c:v>3.7160000000000002</c:v>
                </c:pt>
                <c:pt idx="1">
                  <c:v>1.8800000000000001</c:v>
                </c:pt>
                <c:pt idx="2" formatCode="General">
                  <c:v>0.9</c:v>
                </c:pt>
                <c:pt idx="3">
                  <c:v>1.468</c:v>
                </c:pt>
                <c:pt idx="4">
                  <c:v>4.04</c:v>
                </c:pt>
                <c:pt idx="5">
                  <c:v>3.5000000000000004</c:v>
                </c:pt>
                <c:pt idx="6">
                  <c:v>1.3599999999999999</c:v>
                </c:pt>
                <c:pt idx="7">
                  <c:v>1.4500000000000002</c:v>
                </c:pt>
                <c:pt idx="8">
                  <c:v>2.52</c:v>
                </c:pt>
                <c:pt idx="9">
                  <c:v>2.46</c:v>
                </c:pt>
                <c:pt idx="10">
                  <c:v>4.7</c:v>
                </c:pt>
                <c:pt idx="11">
                  <c:v>1.8199999999999998</c:v>
                </c:pt>
                <c:pt idx="12">
                  <c:v>1.2399999999999998</c:v>
                </c:pt>
              </c:numCache>
            </c:numRef>
          </c:xVal>
          <c:yVal>
            <c:numRef>
              <c:f>CORRELations!$K$4:$K$16</c:f>
              <c:numCache>
                <c:formatCode>General</c:formatCode>
                <c:ptCount val="13"/>
                <c:pt idx="0">
                  <c:v>0.4</c:v>
                </c:pt>
                <c:pt idx="1">
                  <c:v>2.2000000000000002</c:v>
                </c:pt>
                <c:pt idx="2">
                  <c:v>36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  <c:pt idx="6">
                  <c:v>0.2</c:v>
                </c:pt>
                <c:pt idx="7">
                  <c:v>24.4</c:v>
                </c:pt>
                <c:pt idx="8">
                  <c:v>3.8</c:v>
                </c:pt>
                <c:pt idx="9">
                  <c:v>0.7</c:v>
                </c:pt>
                <c:pt idx="10">
                  <c:v>6.2</c:v>
                </c:pt>
                <c:pt idx="11">
                  <c:v>7.0000000000000007E-2</c:v>
                </c:pt>
                <c:pt idx="12">
                  <c:v>0.04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90496"/>
        <c:axId val="1666589952"/>
      </c:scatterChart>
      <c:valAx>
        <c:axId val="166659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9952"/>
        <c:crosses val="autoZero"/>
        <c:crossBetween val="midCat"/>
      </c:valAx>
      <c:valAx>
        <c:axId val="166658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9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CORRELations!$M$2</c:f>
              <c:strCache>
                <c:ptCount val="1"/>
                <c:pt idx="0">
                  <c:v>Volume (m3)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2055118110236221E-2"/>
                  <c:y val="-0.129982137649460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CORRELations!$I$4:$I$16</c:f>
              <c:numCache>
                <c:formatCode>0.0</c:formatCode>
                <c:ptCount val="13"/>
                <c:pt idx="0">
                  <c:v>3.7160000000000002</c:v>
                </c:pt>
                <c:pt idx="1">
                  <c:v>1.8800000000000001</c:v>
                </c:pt>
                <c:pt idx="2" formatCode="General">
                  <c:v>0.9</c:v>
                </c:pt>
                <c:pt idx="3">
                  <c:v>1.468</c:v>
                </c:pt>
                <c:pt idx="4">
                  <c:v>4.04</c:v>
                </c:pt>
                <c:pt idx="5">
                  <c:v>3.5000000000000004</c:v>
                </c:pt>
                <c:pt idx="6">
                  <c:v>1.3599999999999999</c:v>
                </c:pt>
                <c:pt idx="7">
                  <c:v>1.4500000000000002</c:v>
                </c:pt>
                <c:pt idx="8">
                  <c:v>2.52</c:v>
                </c:pt>
                <c:pt idx="9">
                  <c:v>2.46</c:v>
                </c:pt>
                <c:pt idx="10">
                  <c:v>4.7</c:v>
                </c:pt>
                <c:pt idx="11">
                  <c:v>1.8199999999999998</c:v>
                </c:pt>
                <c:pt idx="12">
                  <c:v>1.2399999999999998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88320"/>
        <c:axId val="1666586688"/>
      </c:scatterChart>
      <c:valAx>
        <c:axId val="166658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6688"/>
        <c:crosses val="autoZero"/>
        <c:crossBetween val="midCat"/>
      </c:valAx>
      <c:valAx>
        <c:axId val="166658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CORRELations!$M$2</c:f>
              <c:strCache>
                <c:ptCount val="1"/>
                <c:pt idx="0">
                  <c:v>Volume (m3)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7.0374015748031499E-3"/>
                  <c:y val="-0.132741324001166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CORRELations!$F$4:$F$16</c:f>
              <c:numCache>
                <c:formatCode>General</c:formatCode>
                <c:ptCount val="13"/>
                <c:pt idx="0">
                  <c:v>1.26</c:v>
                </c:pt>
                <c:pt idx="1">
                  <c:v>1.19</c:v>
                </c:pt>
                <c:pt idx="2">
                  <c:v>1.1399999999999999</c:v>
                </c:pt>
                <c:pt idx="3">
                  <c:v>1.17</c:v>
                </c:pt>
                <c:pt idx="4">
                  <c:v>1.1599999999999999</c:v>
                </c:pt>
                <c:pt idx="5">
                  <c:v>1.22</c:v>
                </c:pt>
                <c:pt idx="6">
                  <c:v>1.1499999999999999</c:v>
                </c:pt>
                <c:pt idx="7">
                  <c:v>1.19</c:v>
                </c:pt>
                <c:pt idx="8">
                  <c:v>1.19</c:v>
                </c:pt>
                <c:pt idx="9">
                  <c:v>1.25</c:v>
                </c:pt>
                <c:pt idx="10">
                  <c:v>1.23</c:v>
                </c:pt>
                <c:pt idx="11">
                  <c:v>1.22</c:v>
                </c:pt>
                <c:pt idx="12">
                  <c:v>1.1399999999999999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87232"/>
        <c:axId val="1666592128"/>
      </c:scatterChart>
      <c:valAx>
        <c:axId val="166658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92128"/>
        <c:crosses val="autoZero"/>
        <c:crossBetween val="midCat"/>
      </c:valAx>
      <c:valAx>
        <c:axId val="166659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CORRELations!$M$2</c:f>
              <c:strCache>
                <c:ptCount val="1"/>
                <c:pt idx="0">
                  <c:v>Volume (m3)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CORRELations!$J$4:$J$16</c:f>
              <c:numCache>
                <c:formatCode>General</c:formatCode>
                <c:ptCount val="13"/>
                <c:pt idx="0">
                  <c:v>12.8</c:v>
                </c:pt>
                <c:pt idx="1">
                  <c:v>13</c:v>
                </c:pt>
                <c:pt idx="2">
                  <c:v>41.6</c:v>
                </c:pt>
                <c:pt idx="3">
                  <c:v>1.7</c:v>
                </c:pt>
                <c:pt idx="4">
                  <c:v>68</c:v>
                </c:pt>
                <c:pt idx="5">
                  <c:v>13.3</c:v>
                </c:pt>
                <c:pt idx="6">
                  <c:v>0.7</c:v>
                </c:pt>
                <c:pt idx="7">
                  <c:v>17.399999999999999</c:v>
                </c:pt>
                <c:pt idx="8">
                  <c:v>6.8</c:v>
                </c:pt>
                <c:pt idx="9">
                  <c:v>6.5</c:v>
                </c:pt>
                <c:pt idx="10">
                  <c:v>9.1999999999999993</c:v>
                </c:pt>
                <c:pt idx="11">
                  <c:v>4.0999999999999996</c:v>
                </c:pt>
                <c:pt idx="12">
                  <c:v>4.8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44656"/>
        <c:axId val="1667754992"/>
      </c:scatterChart>
      <c:valAx>
        <c:axId val="166774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54992"/>
        <c:crosses val="autoZero"/>
        <c:crossBetween val="midCat"/>
      </c:valAx>
      <c:valAx>
        <c:axId val="166775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8.9934820647419075E-2"/>
                  <c:y val="-0.355092592592592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CORRELations!$D$4:$D$16</c:f>
              <c:numCache>
                <c:formatCode>General</c:formatCode>
                <c:ptCount val="13"/>
                <c:pt idx="0">
                  <c:v>1.5</c:v>
                </c:pt>
                <c:pt idx="1">
                  <c:v>1.22</c:v>
                </c:pt>
                <c:pt idx="2">
                  <c:v>0.02</c:v>
                </c:pt>
                <c:pt idx="3">
                  <c:v>0.59</c:v>
                </c:pt>
                <c:pt idx="4">
                  <c:v>0.05</c:v>
                </c:pt>
                <c:pt idx="5">
                  <c:v>7.4999999999999997E-2</c:v>
                </c:pt>
                <c:pt idx="6">
                  <c:v>1.36</c:v>
                </c:pt>
                <c:pt idx="7">
                  <c:v>6.5000000000000002E-2</c:v>
                </c:pt>
                <c:pt idx="8">
                  <c:v>1.2</c:v>
                </c:pt>
                <c:pt idx="9">
                  <c:v>1.44</c:v>
                </c:pt>
                <c:pt idx="10">
                  <c:v>0.45</c:v>
                </c:pt>
                <c:pt idx="11">
                  <c:v>1.38</c:v>
                </c:pt>
                <c:pt idx="12">
                  <c:v>1.25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39760"/>
        <c:axId val="1667743568"/>
      </c:scatterChart>
      <c:valAx>
        <c:axId val="166773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3568"/>
        <c:crosses val="autoZero"/>
        <c:crossBetween val="midCat"/>
      </c:valAx>
      <c:valAx>
        <c:axId val="166774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3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80314960629922"/>
          <c:y val="7.407407407407407E-2"/>
          <c:w val="0.86486351706036746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4.1794619422572177E-2"/>
                  <c:y val="-0.207554316127150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CORRELations!$E$4:$E$16</c:f>
              <c:numCache>
                <c:formatCode>General</c:formatCode>
                <c:ptCount val="13"/>
                <c:pt idx="0">
                  <c:v>58</c:v>
                </c:pt>
                <c:pt idx="1">
                  <c:v>53</c:v>
                </c:pt>
                <c:pt idx="2">
                  <c:v>55</c:v>
                </c:pt>
                <c:pt idx="3">
                  <c:v>59</c:v>
                </c:pt>
                <c:pt idx="4">
                  <c:v>60</c:v>
                </c:pt>
                <c:pt idx="5">
                  <c:v>67</c:v>
                </c:pt>
                <c:pt idx="6">
                  <c:v>59</c:v>
                </c:pt>
                <c:pt idx="7">
                  <c:v>56</c:v>
                </c:pt>
                <c:pt idx="8">
                  <c:v>59</c:v>
                </c:pt>
                <c:pt idx="9">
                  <c:v>55</c:v>
                </c:pt>
                <c:pt idx="10">
                  <c:v>66</c:v>
                </c:pt>
                <c:pt idx="11">
                  <c:v>66</c:v>
                </c:pt>
                <c:pt idx="12">
                  <c:v>60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40848"/>
        <c:axId val="1667745200"/>
      </c:scatterChart>
      <c:valAx>
        <c:axId val="1667740848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5200"/>
        <c:crosses val="autoZero"/>
        <c:crossBetween val="midCat"/>
      </c:valAx>
      <c:valAx>
        <c:axId val="166774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V-L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CORRELations!$K$4:$K$16</c:f>
              <c:numCache>
                <c:formatCode>General</c:formatCode>
                <c:ptCount val="13"/>
                <c:pt idx="0">
                  <c:v>0.4</c:v>
                </c:pt>
                <c:pt idx="1">
                  <c:v>2.2000000000000002</c:v>
                </c:pt>
                <c:pt idx="2">
                  <c:v>36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  <c:pt idx="6">
                  <c:v>0.2</c:v>
                </c:pt>
                <c:pt idx="7">
                  <c:v>24.4</c:v>
                </c:pt>
                <c:pt idx="8">
                  <c:v>3.8</c:v>
                </c:pt>
                <c:pt idx="9">
                  <c:v>0.7</c:v>
                </c:pt>
                <c:pt idx="10">
                  <c:v>6.2</c:v>
                </c:pt>
                <c:pt idx="11">
                  <c:v>7.0000000000000007E-2</c:v>
                </c:pt>
                <c:pt idx="12">
                  <c:v>0.04</c:v>
                </c:pt>
              </c:numCache>
            </c:numRef>
          </c:xVal>
          <c:y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41392"/>
        <c:axId val="1667751184"/>
      </c:scatterChart>
      <c:valAx>
        <c:axId val="16677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51184"/>
        <c:crosses val="autoZero"/>
        <c:crossBetween val="midCat"/>
      </c:valAx>
      <c:valAx>
        <c:axId val="166775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V-vpred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CORRELations!$M$4:$M$16</c:f>
              <c:numCache>
                <c:formatCode>General</c:formatCode>
                <c:ptCount val="13"/>
                <c:pt idx="0">
                  <c:v>8.9</c:v>
                </c:pt>
                <c:pt idx="1">
                  <c:v>30.6</c:v>
                </c:pt>
                <c:pt idx="2">
                  <c:v>146</c:v>
                </c:pt>
                <c:pt idx="3">
                  <c:v>40.299999999999997</c:v>
                </c:pt>
                <c:pt idx="4">
                  <c:v>956</c:v>
                </c:pt>
                <c:pt idx="5">
                  <c:v>413</c:v>
                </c:pt>
                <c:pt idx="6">
                  <c:v>1.9</c:v>
                </c:pt>
                <c:pt idx="7">
                  <c:v>195</c:v>
                </c:pt>
                <c:pt idx="8">
                  <c:v>48.9</c:v>
                </c:pt>
                <c:pt idx="9">
                  <c:v>6</c:v>
                </c:pt>
                <c:pt idx="10">
                  <c:v>319</c:v>
                </c:pt>
                <c:pt idx="11">
                  <c:v>3.3</c:v>
                </c:pt>
                <c:pt idx="12">
                  <c:v>0.96</c:v>
                </c:pt>
              </c:numCache>
            </c:numRef>
          </c:xVal>
          <c:yVal>
            <c:numRef>
              <c:f>CORRELations!$O$4:$O$16</c:f>
              <c:numCache>
                <c:formatCode>General</c:formatCode>
                <c:ptCount val="13"/>
                <c:pt idx="0">
                  <c:v>7.947069405488346</c:v>
                </c:pt>
                <c:pt idx="1">
                  <c:v>37.491865760824808</c:v>
                </c:pt>
                <c:pt idx="2">
                  <c:v>477.05416240743756</c:v>
                </c:pt>
                <c:pt idx="3">
                  <c:v>107.49088294008735</c:v>
                </c:pt>
                <c:pt idx="4">
                  <c:v>148.70734293222199</c:v>
                </c:pt>
                <c:pt idx="5">
                  <c:v>175.54454875924537</c:v>
                </c:pt>
                <c:pt idx="6">
                  <c:v>4.2293118565445722</c:v>
                </c:pt>
                <c:pt idx="7">
                  <c:v>334.85528347486644</c:v>
                </c:pt>
                <c:pt idx="8">
                  <c:v>61.650341516499665</c:v>
                </c:pt>
                <c:pt idx="9">
                  <c:v>13.224267642823884</c:v>
                </c:pt>
                <c:pt idx="10">
                  <c:v>96.251798069756248</c:v>
                </c:pt>
                <c:pt idx="11">
                  <c:v>1.6269403497830894</c:v>
                </c:pt>
                <c:pt idx="12">
                  <c:v>0.97770313090508287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42480"/>
        <c:axId val="1667753360"/>
      </c:scatterChart>
      <c:valAx>
        <c:axId val="166774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53360"/>
        <c:crosses val="autoZero"/>
        <c:crossBetween val="midCat"/>
      </c:valAx>
      <c:valAx>
        <c:axId val="166775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G6 upper boundary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[1]both!$B$2:$B$27</c:f>
              <c:numCache>
                <c:formatCode>General</c:formatCode>
                <c:ptCount val="26"/>
                <c:pt idx="0">
                  <c:v>0</c:v>
                </c:pt>
                <c:pt idx="1">
                  <c:v>-8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  <c:pt idx="20">
                  <c:v>-10</c:v>
                </c:pt>
                <c:pt idx="21">
                  <c:v>-10</c:v>
                </c:pt>
                <c:pt idx="22">
                  <c:v>-10</c:v>
                </c:pt>
                <c:pt idx="23">
                  <c:v>-10</c:v>
                </c:pt>
                <c:pt idx="24">
                  <c:v>-10</c:v>
                </c:pt>
                <c:pt idx="25">
                  <c:v>-10</c:v>
                </c:pt>
              </c:numCache>
            </c:numRef>
          </c:val>
          <c:smooth val="0"/>
        </c:ser>
        <c:ser>
          <c:idx val="2"/>
          <c:order val="1"/>
          <c:tx>
            <c:v>G6 middle of gully bank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[1]both!$C$2:$C$27</c:f>
              <c:numCache>
                <c:formatCode>General</c:formatCode>
                <c:ptCount val="26"/>
                <c:pt idx="0">
                  <c:v>0</c:v>
                </c:pt>
                <c:pt idx="1">
                  <c:v>-4</c:v>
                </c:pt>
                <c:pt idx="2">
                  <c:v>-4</c:v>
                </c:pt>
                <c:pt idx="3">
                  <c:v>-6</c:v>
                </c:pt>
                <c:pt idx="4">
                  <c:v>-6</c:v>
                </c:pt>
                <c:pt idx="5">
                  <c:v>-6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  <c:pt idx="10">
                  <c:v>-8</c:v>
                </c:pt>
                <c:pt idx="11">
                  <c:v>-8</c:v>
                </c:pt>
                <c:pt idx="12">
                  <c:v>-8</c:v>
                </c:pt>
                <c:pt idx="13">
                  <c:v>-8</c:v>
                </c:pt>
                <c:pt idx="14">
                  <c:v>-8</c:v>
                </c:pt>
                <c:pt idx="15">
                  <c:v>-8</c:v>
                </c:pt>
                <c:pt idx="16">
                  <c:v>-6</c:v>
                </c:pt>
                <c:pt idx="17">
                  <c:v>-6</c:v>
                </c:pt>
                <c:pt idx="18">
                  <c:v>-6</c:v>
                </c:pt>
                <c:pt idx="19">
                  <c:v>-6</c:v>
                </c:pt>
                <c:pt idx="20">
                  <c:v>-6</c:v>
                </c:pt>
                <c:pt idx="21">
                  <c:v>-6</c:v>
                </c:pt>
                <c:pt idx="22">
                  <c:v>-6</c:v>
                </c:pt>
                <c:pt idx="23">
                  <c:v>-6</c:v>
                </c:pt>
                <c:pt idx="24">
                  <c:v>-4</c:v>
                </c:pt>
                <c:pt idx="25">
                  <c:v>-6</c:v>
                </c:pt>
              </c:numCache>
            </c:numRef>
          </c:val>
          <c:smooth val="0"/>
        </c:ser>
        <c:ser>
          <c:idx val="3"/>
          <c:order val="2"/>
          <c:tx>
            <c:v>G8 upper boundary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[1]both!$D$2:$D$27</c:f>
              <c:numCache>
                <c:formatCode>General</c:formatCode>
                <c:ptCount val="26"/>
                <c:pt idx="0">
                  <c:v>0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-4</c:v>
                </c:pt>
                <c:pt idx="8">
                  <c:v>-6</c:v>
                </c:pt>
                <c:pt idx="9">
                  <c:v>-6</c:v>
                </c:pt>
                <c:pt idx="10">
                  <c:v>-6</c:v>
                </c:pt>
                <c:pt idx="11">
                  <c:v>-6</c:v>
                </c:pt>
                <c:pt idx="12">
                  <c:v>-6</c:v>
                </c:pt>
                <c:pt idx="13">
                  <c:v>-6</c:v>
                </c:pt>
                <c:pt idx="14">
                  <c:v>-6</c:v>
                </c:pt>
                <c:pt idx="15">
                  <c:v>-6</c:v>
                </c:pt>
                <c:pt idx="16">
                  <c:v>-6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-4</c:v>
                </c:pt>
                <c:pt idx="24">
                  <c:v>-4</c:v>
                </c:pt>
                <c:pt idx="25">
                  <c:v>-4</c:v>
                </c:pt>
              </c:numCache>
            </c:numRef>
          </c:val>
          <c:smooth val="0"/>
        </c:ser>
        <c:ser>
          <c:idx val="4"/>
          <c:order val="3"/>
          <c:tx>
            <c:v>G8 middle of bank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[1]both!$E$2:$E$27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748464"/>
        <c:axId val="1667744112"/>
      </c:lineChart>
      <c:catAx>
        <c:axId val="166774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Jul-13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4112"/>
        <c:crosses val="autoZero"/>
        <c:auto val="1"/>
        <c:lblAlgn val="ctr"/>
        <c:lblOffset val="100"/>
        <c:noMultiLvlLbl val="0"/>
      </c:catAx>
      <c:valAx>
        <c:axId val="166774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Pore-water pressure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4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TG gully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58573928259012"/>
          <c:y val="0.1859281131525243"/>
          <c:w val="0.87330314960629918"/>
          <c:h val="0.76267133275008037"/>
        </c:manualLayout>
      </c:layout>
      <c:barChart>
        <c:barDir val="col"/>
        <c:grouping val="clustered"/>
        <c:varyColors val="0"/>
        <c:ser>
          <c:idx val="1"/>
          <c:order val="1"/>
          <c:tx>
            <c:v>WATER TABLE</c:v>
          </c:tx>
          <c:invertIfNegative val="0"/>
          <c:cat>
            <c:numRef>
              <c:f>'G6'!$BC$30:$BC$49</c:f>
              <c:numCache>
                <c:formatCode>General</c:formatCode>
                <c:ptCount val="20"/>
                <c:pt idx="0">
                  <c:v>0</c:v>
                </c:pt>
                <c:pt idx="1">
                  <c:v>22.6</c:v>
                </c:pt>
                <c:pt idx="2">
                  <c:v>56.800000000000004</c:v>
                </c:pt>
                <c:pt idx="3">
                  <c:v>73.400000000000006</c:v>
                </c:pt>
                <c:pt idx="4">
                  <c:v>79.2</c:v>
                </c:pt>
                <c:pt idx="5">
                  <c:v>92.4</c:v>
                </c:pt>
                <c:pt idx="6">
                  <c:v>109.7</c:v>
                </c:pt>
                <c:pt idx="7">
                  <c:v>165.7</c:v>
                </c:pt>
                <c:pt idx="8">
                  <c:v>185.7</c:v>
                </c:pt>
                <c:pt idx="9">
                  <c:v>220.7</c:v>
                </c:pt>
                <c:pt idx="10">
                  <c:v>247.7</c:v>
                </c:pt>
                <c:pt idx="11">
                  <c:v>265.5</c:v>
                </c:pt>
                <c:pt idx="12">
                  <c:v>278.2</c:v>
                </c:pt>
                <c:pt idx="13">
                  <c:v>282.5</c:v>
                </c:pt>
                <c:pt idx="14">
                  <c:v>283.7</c:v>
                </c:pt>
                <c:pt idx="15">
                  <c:v>286</c:v>
                </c:pt>
                <c:pt idx="16">
                  <c:v>290.10000000000002</c:v>
                </c:pt>
                <c:pt idx="17">
                  <c:v>296</c:v>
                </c:pt>
                <c:pt idx="18">
                  <c:v>299.39999999999998</c:v>
                </c:pt>
                <c:pt idx="19">
                  <c:v>302</c:v>
                </c:pt>
              </c:numCache>
            </c:numRef>
          </c:cat>
          <c:val>
            <c:numRef>
              <c:f>'G6'!$BK$30:$BK$49</c:f>
              <c:numCache>
                <c:formatCode>General</c:formatCode>
                <c:ptCount val="20"/>
                <c:pt idx="5">
                  <c:v>-1.39</c:v>
                </c:pt>
                <c:pt idx="13">
                  <c:v>-2.16</c:v>
                </c:pt>
                <c:pt idx="19">
                  <c:v>-0.45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7931936"/>
        <c:axId val="1607932480"/>
      </c:barChart>
      <c:lineChart>
        <c:grouping val="standard"/>
        <c:varyColors val="0"/>
        <c:ser>
          <c:idx val="0"/>
          <c:order val="0"/>
          <c:tx>
            <c:v>GULLY DEPTH</c:v>
          </c:tx>
          <c:marker>
            <c:symbol val="none"/>
          </c:marker>
          <c:cat>
            <c:numRef>
              <c:f>'G6'!$BC$30:$BC$49</c:f>
              <c:numCache>
                <c:formatCode>General</c:formatCode>
                <c:ptCount val="20"/>
                <c:pt idx="0">
                  <c:v>0</c:v>
                </c:pt>
                <c:pt idx="1">
                  <c:v>22.6</c:v>
                </c:pt>
                <c:pt idx="2">
                  <c:v>56.800000000000004</c:v>
                </c:pt>
                <c:pt idx="3">
                  <c:v>73.400000000000006</c:v>
                </c:pt>
                <c:pt idx="4">
                  <c:v>79.2</c:v>
                </c:pt>
                <c:pt idx="5">
                  <c:v>92.4</c:v>
                </c:pt>
                <c:pt idx="6">
                  <c:v>109.7</c:v>
                </c:pt>
                <c:pt idx="7">
                  <c:v>165.7</c:v>
                </c:pt>
                <c:pt idx="8">
                  <c:v>185.7</c:v>
                </c:pt>
                <c:pt idx="9">
                  <c:v>220.7</c:v>
                </c:pt>
                <c:pt idx="10">
                  <c:v>247.7</c:v>
                </c:pt>
                <c:pt idx="11">
                  <c:v>265.5</c:v>
                </c:pt>
                <c:pt idx="12">
                  <c:v>278.2</c:v>
                </c:pt>
                <c:pt idx="13">
                  <c:v>282.5</c:v>
                </c:pt>
                <c:pt idx="14">
                  <c:v>283.7</c:v>
                </c:pt>
                <c:pt idx="15">
                  <c:v>286</c:v>
                </c:pt>
                <c:pt idx="16">
                  <c:v>290.10000000000002</c:v>
                </c:pt>
                <c:pt idx="17">
                  <c:v>296</c:v>
                </c:pt>
                <c:pt idx="18">
                  <c:v>299.39999999999998</c:v>
                </c:pt>
                <c:pt idx="19">
                  <c:v>302</c:v>
                </c:pt>
              </c:numCache>
            </c:numRef>
          </c:cat>
          <c:val>
            <c:numRef>
              <c:f>'G6'!$BI$30:$BI$49</c:f>
              <c:numCache>
                <c:formatCode>General</c:formatCode>
                <c:ptCount val="20"/>
                <c:pt idx="0">
                  <c:v>-1.4</c:v>
                </c:pt>
                <c:pt idx="1">
                  <c:v>-2.9</c:v>
                </c:pt>
                <c:pt idx="2">
                  <c:v>-2.4</c:v>
                </c:pt>
                <c:pt idx="3">
                  <c:v>-2.2999999999999998</c:v>
                </c:pt>
                <c:pt idx="4">
                  <c:v>-3</c:v>
                </c:pt>
                <c:pt idx="5">
                  <c:v>-6.6</c:v>
                </c:pt>
                <c:pt idx="6">
                  <c:v>-5.0999999999999996</c:v>
                </c:pt>
                <c:pt idx="7">
                  <c:v>-4.5999999999999996</c:v>
                </c:pt>
                <c:pt idx="8">
                  <c:v>-5.5</c:v>
                </c:pt>
                <c:pt idx="9">
                  <c:v>-4.2</c:v>
                </c:pt>
                <c:pt idx="10">
                  <c:v>-6.6</c:v>
                </c:pt>
                <c:pt idx="11">
                  <c:v>-6</c:v>
                </c:pt>
                <c:pt idx="12">
                  <c:v>-5.8</c:v>
                </c:pt>
                <c:pt idx="13">
                  <c:v>-5.9</c:v>
                </c:pt>
                <c:pt idx="14">
                  <c:v>-4.9000000000000004</c:v>
                </c:pt>
                <c:pt idx="15">
                  <c:v>-4.4000000000000004</c:v>
                </c:pt>
                <c:pt idx="16">
                  <c:v>-3.1</c:v>
                </c:pt>
                <c:pt idx="17">
                  <c:v>-4.3</c:v>
                </c:pt>
                <c:pt idx="18">
                  <c:v>-3.9</c:v>
                </c:pt>
                <c:pt idx="19">
                  <c:v>-2.8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7931936"/>
        <c:axId val="1607932480"/>
      </c:lineChart>
      <c:catAx>
        <c:axId val="160793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07932480"/>
        <c:crosses val="autoZero"/>
        <c:auto val="1"/>
        <c:lblAlgn val="ctr"/>
        <c:lblOffset val="100"/>
        <c:noMultiLvlLbl val="0"/>
      </c:catAx>
      <c:valAx>
        <c:axId val="1607932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0793193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184164479440326"/>
          <c:y val="0.43981481481481977"/>
          <c:w val="0.53631671041119855"/>
          <c:h val="8.371719160105002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Cross-section 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'G8'!$F$3</c:f>
              <c:strCache>
                <c:ptCount val="1"/>
                <c:pt idx="0">
                  <c:v>6/28/2013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'G8'!$C$11:$H$11</c:f>
              <c:numCache>
                <c:formatCode>General</c:formatCode>
                <c:ptCount val="6"/>
                <c:pt idx="0">
                  <c:v>0</c:v>
                </c:pt>
                <c:pt idx="1">
                  <c:v>0.4</c:v>
                </c:pt>
                <c:pt idx="2">
                  <c:v>2</c:v>
                </c:pt>
                <c:pt idx="3">
                  <c:v>4</c:v>
                </c:pt>
                <c:pt idx="4">
                  <c:v>7.6</c:v>
                </c:pt>
                <c:pt idx="5">
                  <c:v>7.7</c:v>
                </c:pt>
              </c:numCache>
            </c:numRef>
          </c:xVal>
          <c:yVal>
            <c:numRef>
              <c:f>'G8'!$C$12:$H$12</c:f>
              <c:numCache>
                <c:formatCode>General</c:formatCode>
                <c:ptCount val="6"/>
                <c:pt idx="0">
                  <c:v>4</c:v>
                </c:pt>
                <c:pt idx="1">
                  <c:v>3.6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'G8'!$Q$3</c:f>
              <c:strCache>
                <c:ptCount val="1"/>
                <c:pt idx="0">
                  <c:v>7/23/2013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'G8'!$O$11:$T$11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2</c:v>
                </c:pt>
                <c:pt idx="3">
                  <c:v>4.3</c:v>
                </c:pt>
                <c:pt idx="4">
                  <c:v>8.1</c:v>
                </c:pt>
                <c:pt idx="5">
                  <c:v>8.3000000000000007</c:v>
                </c:pt>
              </c:numCache>
            </c:numRef>
          </c:xVal>
          <c:yVal>
            <c:numRef>
              <c:f>'G8'!$O$12:$T$12</c:f>
              <c:numCache>
                <c:formatCode>General</c:formatCode>
                <c:ptCount val="6"/>
                <c:pt idx="0">
                  <c:v>4.5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3.45</c:v>
                </c:pt>
                <c:pt idx="5">
                  <c:v>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'G8'!$W$3</c:f>
              <c:strCache>
                <c:ptCount val="1"/>
                <c:pt idx="0">
                  <c:v>8/5/2013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'G8'!$U$11:$Z$11</c:f>
              <c:numCache>
                <c:formatCode>General</c:formatCode>
                <c:ptCount val="6"/>
                <c:pt idx="0">
                  <c:v>0</c:v>
                </c:pt>
                <c:pt idx="1">
                  <c:v>0.3</c:v>
                </c:pt>
                <c:pt idx="2">
                  <c:v>2.2000000000000002</c:v>
                </c:pt>
                <c:pt idx="3">
                  <c:v>5</c:v>
                </c:pt>
                <c:pt idx="4">
                  <c:v>8.6</c:v>
                </c:pt>
                <c:pt idx="5">
                  <c:v>8.6999999999999993</c:v>
                </c:pt>
              </c:numCache>
            </c:numRef>
          </c:xVal>
          <c:yVal>
            <c:numRef>
              <c:f>'G8'!$U$12:$Z$12</c:f>
              <c:numCache>
                <c:formatCode>General</c:formatCode>
                <c:ptCount val="6"/>
                <c:pt idx="0">
                  <c:v>4.7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3.8</c:v>
                </c:pt>
                <c:pt idx="5">
                  <c:v>4.7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'G8'!$AC$3</c:f>
              <c:strCache>
                <c:ptCount val="1"/>
                <c:pt idx="0">
                  <c:v>8/13/2013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'G8'!$AA$11:$AF$11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2.2999999999999998</c:v>
                </c:pt>
                <c:pt idx="3">
                  <c:v>5</c:v>
                </c:pt>
                <c:pt idx="4">
                  <c:v>8.5</c:v>
                </c:pt>
                <c:pt idx="5">
                  <c:v>8.6999999999999993</c:v>
                </c:pt>
              </c:numCache>
            </c:numRef>
          </c:xVal>
          <c:yVal>
            <c:numRef>
              <c:f>'G8'!$AA$12:$AF$12</c:f>
              <c:numCache>
                <c:formatCode>General</c:formatCode>
                <c:ptCount val="6"/>
                <c:pt idx="0">
                  <c:v>4.7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3.3</c:v>
                </c:pt>
                <c:pt idx="5">
                  <c:v>4.7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'G8'!$AI$3</c:f>
              <c:strCache>
                <c:ptCount val="1"/>
                <c:pt idx="0">
                  <c:v>8/30/2013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'G8'!$AS$11:$AX$11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2.8</c:v>
                </c:pt>
                <c:pt idx="3">
                  <c:v>5.8</c:v>
                </c:pt>
                <c:pt idx="4">
                  <c:v>8.8000000000000007</c:v>
                </c:pt>
                <c:pt idx="5">
                  <c:v>9</c:v>
                </c:pt>
              </c:numCache>
            </c:numRef>
          </c:xVal>
          <c:yVal>
            <c:numRef>
              <c:f>'G8'!$AS$12:$AX$12</c:f>
              <c:numCache>
                <c:formatCode>General</c:formatCode>
                <c:ptCount val="6"/>
                <c:pt idx="0">
                  <c:v>4.7</c:v>
                </c:pt>
                <c:pt idx="1">
                  <c:v>3.7</c:v>
                </c:pt>
                <c:pt idx="2">
                  <c:v>0</c:v>
                </c:pt>
                <c:pt idx="3">
                  <c:v>0</c:v>
                </c:pt>
                <c:pt idx="4">
                  <c:v>4.2</c:v>
                </c:pt>
                <c:pt idx="5">
                  <c:v>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688544"/>
        <c:axId val="1605689632"/>
      </c:scatterChart>
      <c:valAx>
        <c:axId val="160568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89632"/>
        <c:crosses val="autoZero"/>
        <c:crossBetween val="midCat"/>
      </c:valAx>
      <c:valAx>
        <c:axId val="160568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88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Cross-section 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'G8'!$F$3</c:f>
              <c:strCache>
                <c:ptCount val="1"/>
                <c:pt idx="0">
                  <c:v>6/28/2013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'G8'!$C$14:$H$14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1</c:v>
                </c:pt>
                <c:pt idx="3">
                  <c:v>2.8</c:v>
                </c:pt>
                <c:pt idx="4">
                  <c:v>3.9</c:v>
                </c:pt>
                <c:pt idx="5">
                  <c:v>4</c:v>
                </c:pt>
              </c:numCache>
            </c:numRef>
          </c:xVal>
          <c:yVal>
            <c:numRef>
              <c:f>'G8'!$C$15:$H$15</c:f>
              <c:numCache>
                <c:formatCode>General</c:formatCode>
                <c:ptCount val="6"/>
                <c:pt idx="0">
                  <c:v>3.6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3.6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'G8'!$Q$3</c:f>
              <c:strCache>
                <c:ptCount val="1"/>
                <c:pt idx="0">
                  <c:v>7/23/2013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'G8'!$O$14:$T$14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3</c:v>
                </c:pt>
                <c:pt idx="3">
                  <c:v>4.7</c:v>
                </c:pt>
                <c:pt idx="4">
                  <c:v>8</c:v>
                </c:pt>
                <c:pt idx="5">
                  <c:v>8.19</c:v>
                </c:pt>
              </c:numCache>
            </c:numRef>
          </c:xVal>
          <c:yVal>
            <c:numRef>
              <c:f>'G8'!$O$15:$T$15</c:f>
              <c:numCache>
                <c:formatCode>General</c:formatCode>
                <c:ptCount val="6"/>
                <c:pt idx="0">
                  <c:v>4.2</c:v>
                </c:pt>
                <c:pt idx="1">
                  <c:v>3.3</c:v>
                </c:pt>
                <c:pt idx="2">
                  <c:v>0</c:v>
                </c:pt>
                <c:pt idx="3">
                  <c:v>0</c:v>
                </c:pt>
                <c:pt idx="4">
                  <c:v>3.6</c:v>
                </c:pt>
                <c:pt idx="5">
                  <c:v>4.2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'G8'!$W$3</c:f>
              <c:strCache>
                <c:ptCount val="1"/>
                <c:pt idx="0">
                  <c:v>8/5/2013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'G8'!$U$14:$Z$14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4.3</c:v>
                </c:pt>
                <c:pt idx="3">
                  <c:v>6.1</c:v>
                </c:pt>
                <c:pt idx="4">
                  <c:v>10.3</c:v>
                </c:pt>
                <c:pt idx="5">
                  <c:v>10.4</c:v>
                </c:pt>
              </c:numCache>
            </c:numRef>
          </c:xVal>
          <c:yVal>
            <c:numRef>
              <c:f>'G8'!$U$15:$Z$15</c:f>
              <c:numCache>
                <c:formatCode>General</c:formatCode>
                <c:ptCount val="6"/>
                <c:pt idx="0">
                  <c:v>4</c:v>
                </c:pt>
                <c:pt idx="1">
                  <c:v>3.4</c:v>
                </c:pt>
                <c:pt idx="2">
                  <c:v>0</c:v>
                </c:pt>
                <c:pt idx="3">
                  <c:v>0</c:v>
                </c:pt>
                <c:pt idx="4">
                  <c:v>3.2</c:v>
                </c:pt>
                <c:pt idx="5">
                  <c:v>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'G8'!$AC$3</c:f>
              <c:strCache>
                <c:ptCount val="1"/>
                <c:pt idx="0">
                  <c:v>8/13/2013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'G8'!$AA$14:$AF$14</c:f>
              <c:numCache>
                <c:formatCode>General</c:formatCode>
                <c:ptCount val="6"/>
                <c:pt idx="0">
                  <c:v>0</c:v>
                </c:pt>
                <c:pt idx="1">
                  <c:v>0.3</c:v>
                </c:pt>
                <c:pt idx="2">
                  <c:v>5</c:v>
                </c:pt>
                <c:pt idx="3">
                  <c:v>7</c:v>
                </c:pt>
                <c:pt idx="4">
                  <c:v>11.1</c:v>
                </c:pt>
                <c:pt idx="5">
                  <c:v>11.3</c:v>
                </c:pt>
              </c:numCache>
            </c:numRef>
          </c:xVal>
          <c:yVal>
            <c:numRef>
              <c:f>'G8'!$AA$15:$AF$15</c:f>
              <c:numCache>
                <c:formatCode>General</c:formatCode>
                <c:ptCount val="6"/>
                <c:pt idx="0">
                  <c:v>4.5999999999999996</c:v>
                </c:pt>
                <c:pt idx="1">
                  <c:v>3.3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4.5999999999999996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'G8'!$AI$3</c:f>
              <c:strCache>
                <c:ptCount val="1"/>
                <c:pt idx="0">
                  <c:v>8/30/2013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'G8'!$AS$14:$AX$14</c:f>
              <c:numCache>
                <c:formatCode>General</c:formatCode>
                <c:ptCount val="6"/>
                <c:pt idx="0">
                  <c:v>0</c:v>
                </c:pt>
                <c:pt idx="1">
                  <c:v>0.3</c:v>
                </c:pt>
                <c:pt idx="2">
                  <c:v>5</c:v>
                </c:pt>
                <c:pt idx="3">
                  <c:v>7</c:v>
                </c:pt>
                <c:pt idx="4">
                  <c:v>11.9</c:v>
                </c:pt>
                <c:pt idx="5">
                  <c:v>12</c:v>
                </c:pt>
              </c:numCache>
            </c:numRef>
          </c:xVal>
          <c:yVal>
            <c:numRef>
              <c:f>'G8'!$AS$15:$AX$15</c:f>
              <c:numCache>
                <c:formatCode>General</c:formatCode>
                <c:ptCount val="6"/>
                <c:pt idx="0">
                  <c:v>4.7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3.8</c:v>
                </c:pt>
                <c:pt idx="5">
                  <c:v>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685824"/>
        <c:axId val="1605686912"/>
      </c:scatterChart>
      <c:valAx>
        <c:axId val="160568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86912"/>
        <c:crosses val="autoZero"/>
        <c:crossBetween val="midCat"/>
      </c:valAx>
      <c:valAx>
        <c:axId val="160568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8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'G8'!$BS$6:$BS$13</c:f>
              <c:numCache>
                <c:formatCode>General</c:formatCode>
                <c:ptCount val="8"/>
                <c:pt idx="0">
                  <c:v>27.720000000000002</c:v>
                </c:pt>
                <c:pt idx="1">
                  <c:v>25.75</c:v>
                </c:pt>
                <c:pt idx="2">
                  <c:v>26.25</c:v>
                </c:pt>
                <c:pt idx="3">
                  <c:v>96</c:v>
                </c:pt>
                <c:pt idx="4">
                  <c:v>47.79</c:v>
                </c:pt>
                <c:pt idx="5">
                  <c:v>44.5</c:v>
                </c:pt>
                <c:pt idx="6">
                  <c:v>18.600000000000001</c:v>
                </c:pt>
                <c:pt idx="7">
                  <c:v>6.6000000000000005</c:v>
                </c:pt>
              </c:numCache>
            </c:numRef>
          </c:xVal>
          <c:yVal>
            <c:numRef>
              <c:f>'G8'!$BO$6:$BO$13</c:f>
              <c:numCache>
                <c:formatCode>0.00</c:formatCode>
                <c:ptCount val="8"/>
                <c:pt idx="0">
                  <c:v>93.755999999999986</c:v>
                </c:pt>
                <c:pt idx="1">
                  <c:v>94.006249999999994</c:v>
                </c:pt>
                <c:pt idx="2">
                  <c:v>81.77500000000002</c:v>
                </c:pt>
                <c:pt idx="3">
                  <c:v>263.38000000000005</c:v>
                </c:pt>
                <c:pt idx="4">
                  <c:v>100.81800000000001</c:v>
                </c:pt>
                <c:pt idx="5">
                  <c:v>59.2</c:v>
                </c:pt>
                <c:pt idx="6">
                  <c:v>26.025000000000002</c:v>
                </c:pt>
                <c:pt idx="7">
                  <c:v>9.36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689088"/>
        <c:axId val="1605692352"/>
      </c:scatterChart>
      <c:valAx>
        <c:axId val="160568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92352"/>
        <c:crosses val="autoZero"/>
        <c:crossBetween val="midCat"/>
      </c:valAx>
      <c:valAx>
        <c:axId val="16056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8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05589926259219"/>
          <c:y val="5.9139784946236562E-2"/>
          <c:w val="0.78004296337957757"/>
          <c:h val="0.57914825162983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summary!$D$11</c:f>
              <c:strCache>
                <c:ptCount val="1"/>
                <c:pt idx="0">
                  <c:v>Head cut retreat A (2013)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summary!$A$12:$A$24</c:f>
              <c:strCache>
                <c:ptCount val="13"/>
                <c:pt idx="0">
                  <c:v>G5</c:v>
                </c:pt>
                <c:pt idx="1">
                  <c:v>G6</c:v>
                </c:pt>
                <c:pt idx="2">
                  <c:v>G3</c:v>
                </c:pt>
                <c:pt idx="3">
                  <c:v>G8</c:v>
                </c:pt>
                <c:pt idx="4">
                  <c:v>G11</c:v>
                </c:pt>
                <c:pt idx="5">
                  <c:v>G4</c:v>
                </c:pt>
                <c:pt idx="6">
                  <c:v>G9</c:v>
                </c:pt>
                <c:pt idx="7">
                  <c:v>G2</c:v>
                </c:pt>
                <c:pt idx="8">
                  <c:v>G1</c:v>
                </c:pt>
                <c:pt idx="9">
                  <c:v>G10</c:v>
                </c:pt>
                <c:pt idx="10">
                  <c:v>G7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summary!$D$12:$D$24</c:f>
              <c:numCache>
                <c:formatCode>General</c:formatCode>
                <c:ptCount val="13"/>
                <c:pt idx="0">
                  <c:v>233.75</c:v>
                </c:pt>
                <c:pt idx="1">
                  <c:v>111.42</c:v>
                </c:pt>
                <c:pt idx="2">
                  <c:v>109.5</c:v>
                </c:pt>
                <c:pt idx="3">
                  <c:v>84.98</c:v>
                </c:pt>
                <c:pt idx="4">
                  <c:v>54.259999999999991</c:v>
                </c:pt>
                <c:pt idx="5">
                  <c:v>25.020000000000003</c:v>
                </c:pt>
                <c:pt idx="6">
                  <c:v>9.879999999999999</c:v>
                </c:pt>
                <c:pt idx="7">
                  <c:v>7.26</c:v>
                </c:pt>
                <c:pt idx="8">
                  <c:v>3.16</c:v>
                </c:pt>
                <c:pt idx="9">
                  <c:v>2.0999999999999996</c:v>
                </c:pt>
                <c:pt idx="10">
                  <c:v>0.32000000000000006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2"/>
          <c:order val="2"/>
          <c:tx>
            <c:strRef>
              <c:f>summary!$F$11</c:f>
              <c:strCache>
                <c:ptCount val="1"/>
                <c:pt idx="0">
                  <c:v>Head cut retreat A (2014)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summary!$A$12:$A$24</c:f>
              <c:strCache>
                <c:ptCount val="13"/>
                <c:pt idx="0">
                  <c:v>G5</c:v>
                </c:pt>
                <c:pt idx="1">
                  <c:v>G6</c:v>
                </c:pt>
                <c:pt idx="2">
                  <c:v>G3</c:v>
                </c:pt>
                <c:pt idx="3">
                  <c:v>G8</c:v>
                </c:pt>
                <c:pt idx="4">
                  <c:v>G11</c:v>
                </c:pt>
                <c:pt idx="5">
                  <c:v>G4</c:v>
                </c:pt>
                <c:pt idx="6">
                  <c:v>G9</c:v>
                </c:pt>
                <c:pt idx="7">
                  <c:v>G2</c:v>
                </c:pt>
                <c:pt idx="8">
                  <c:v>G1</c:v>
                </c:pt>
                <c:pt idx="9">
                  <c:v>G10</c:v>
                </c:pt>
                <c:pt idx="10">
                  <c:v>G7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summary!$F$12:$F$24</c:f>
              <c:numCache>
                <c:formatCode>0.0</c:formatCode>
                <c:ptCount val="13"/>
                <c:pt idx="0">
                  <c:v>42.900000000000006</c:v>
                </c:pt>
                <c:pt idx="1">
                  <c:v>0</c:v>
                </c:pt>
                <c:pt idx="2">
                  <c:v>0</c:v>
                </c:pt>
                <c:pt idx="3">
                  <c:v>27</c:v>
                </c:pt>
                <c:pt idx="4">
                  <c:v>11.059999999999999</c:v>
                </c:pt>
                <c:pt idx="5">
                  <c:v>16.5</c:v>
                </c:pt>
                <c:pt idx="6">
                  <c:v>7.0949999999999998</c:v>
                </c:pt>
                <c:pt idx="7">
                  <c:v>0.8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1610123568"/>
        <c:axId val="1610121936"/>
      </c:barChart>
      <c:lineChart>
        <c:grouping val="standard"/>
        <c:varyColors val="0"/>
        <c:ser>
          <c:idx val="1"/>
          <c:order val="1"/>
          <c:tx>
            <c:strRef>
              <c:f>summary!$E$11</c:f>
              <c:strCache>
                <c:ptCount val="1"/>
                <c:pt idx="0">
                  <c:v>Head cut retreat V (2013)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triang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Pt>
            <c:idx val="1"/>
            <c:marker>
              <c:spPr>
                <a:gradFill rotWithShape="1">
                  <a:gsLst>
                    <a:gs pos="0">
                      <a:schemeClr val="accent2">
                        <a:shade val="51000"/>
                        <a:satMod val="130000"/>
                      </a:schemeClr>
                    </a:gs>
                    <a:gs pos="80000">
                      <a:schemeClr val="accent2">
                        <a:shade val="93000"/>
                        <a:satMod val="130000"/>
                      </a:schemeClr>
                    </a:gs>
                    <a:gs pos="100000">
                      <a:schemeClr val="accent2">
                        <a:shade val="94000"/>
                        <a:satMod val="135000"/>
                      </a:schemeClr>
                    </a:gs>
                  </a:gsLst>
                  <a:lin ang="162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</c:dPt>
          <c:cat>
            <c:strRef>
              <c:f>summary!$A$12:$A$24</c:f>
              <c:strCache>
                <c:ptCount val="13"/>
                <c:pt idx="0">
                  <c:v>G5</c:v>
                </c:pt>
                <c:pt idx="1">
                  <c:v>G6</c:v>
                </c:pt>
                <c:pt idx="2">
                  <c:v>G3</c:v>
                </c:pt>
                <c:pt idx="3">
                  <c:v>G8</c:v>
                </c:pt>
                <c:pt idx="4">
                  <c:v>G11</c:v>
                </c:pt>
                <c:pt idx="5">
                  <c:v>G4</c:v>
                </c:pt>
                <c:pt idx="6">
                  <c:v>G9</c:v>
                </c:pt>
                <c:pt idx="7">
                  <c:v>G2</c:v>
                </c:pt>
                <c:pt idx="8">
                  <c:v>G1</c:v>
                </c:pt>
                <c:pt idx="9">
                  <c:v>G10</c:v>
                </c:pt>
                <c:pt idx="10">
                  <c:v>G7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summary!$E$12:$E$24</c:f>
              <c:numCache>
                <c:formatCode>0.0</c:formatCode>
                <c:ptCount val="13"/>
                <c:pt idx="0">
                  <c:v>955.625</c:v>
                </c:pt>
                <c:pt idx="1">
                  <c:v>412.92225000000002</c:v>
                </c:pt>
                <c:pt idx="2">
                  <c:v>146.42250000000001</c:v>
                </c:pt>
                <c:pt idx="3">
                  <c:v>162.56184999999999</c:v>
                </c:pt>
                <c:pt idx="4">
                  <c:v>508.05475000000013</c:v>
                </c:pt>
                <c:pt idx="5">
                  <c:v>40.271000000000001</c:v>
                </c:pt>
                <c:pt idx="6">
                  <c:v>48.934499999999993</c:v>
                </c:pt>
                <c:pt idx="7">
                  <c:v>30.566250000000004</c:v>
                </c:pt>
                <c:pt idx="8">
                  <c:v>8.8650000000000002</c:v>
                </c:pt>
                <c:pt idx="9">
                  <c:v>5.9954999999999989</c:v>
                </c:pt>
                <c:pt idx="10">
                  <c:v>0.8100000000000005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summary!$G$11</c:f>
              <c:strCache>
                <c:ptCount val="1"/>
                <c:pt idx="0">
                  <c:v>Head cut retreat V (2014)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x"/>
            <c:size val="5"/>
            <c:spPr>
              <a:noFill/>
              <a:ln w="9525">
                <a:solidFill>
                  <a:schemeClr val="accent4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strRef>
              <c:f>summary!$A$12:$A$24</c:f>
              <c:strCache>
                <c:ptCount val="13"/>
                <c:pt idx="0">
                  <c:v>G5</c:v>
                </c:pt>
                <c:pt idx="1">
                  <c:v>G6</c:v>
                </c:pt>
                <c:pt idx="2">
                  <c:v>G3</c:v>
                </c:pt>
                <c:pt idx="3">
                  <c:v>G8</c:v>
                </c:pt>
                <c:pt idx="4">
                  <c:v>G11</c:v>
                </c:pt>
                <c:pt idx="5">
                  <c:v>G4</c:v>
                </c:pt>
                <c:pt idx="6">
                  <c:v>G9</c:v>
                </c:pt>
                <c:pt idx="7">
                  <c:v>G2</c:v>
                </c:pt>
                <c:pt idx="8">
                  <c:v>G1</c:v>
                </c:pt>
                <c:pt idx="9">
                  <c:v>G10</c:v>
                </c:pt>
                <c:pt idx="10">
                  <c:v>G7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summary!$G$12:$G$24</c:f>
              <c:numCache>
                <c:formatCode>0.0</c:formatCode>
                <c:ptCount val="13"/>
                <c:pt idx="0">
                  <c:v>131.21999999999997</c:v>
                </c:pt>
                <c:pt idx="1">
                  <c:v>0</c:v>
                </c:pt>
                <c:pt idx="2">
                  <c:v>0</c:v>
                </c:pt>
                <c:pt idx="3">
                  <c:v>41.56</c:v>
                </c:pt>
                <c:pt idx="4">
                  <c:v>36.546999999999997</c:v>
                </c:pt>
                <c:pt idx="5">
                  <c:v>20.824999999999999</c:v>
                </c:pt>
                <c:pt idx="6">
                  <c:v>24.448875000000001</c:v>
                </c:pt>
                <c:pt idx="7">
                  <c:v>1.8131250000000001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2.4640000000000004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121392"/>
        <c:axId val="1610127920"/>
      </c:lineChart>
      <c:catAx>
        <c:axId val="1610121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Gully name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@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127920"/>
        <c:crosses val="autoZero"/>
        <c:auto val="1"/>
        <c:lblAlgn val="ctr"/>
        <c:lblOffset val="100"/>
        <c:noMultiLvlLbl val="0"/>
      </c:catAx>
      <c:valAx>
        <c:axId val="1610127920"/>
        <c:scaling>
          <c:orientation val="minMax"/>
          <c:max val="1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121392"/>
        <c:crosses val="autoZero"/>
        <c:crossBetween val="between"/>
        <c:majorUnit val="100"/>
      </c:valAx>
      <c:valAx>
        <c:axId val="1610121936"/>
        <c:scaling>
          <c:orientation val="minMax"/>
          <c:max val="24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 (m2)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123568"/>
        <c:crosses val="max"/>
        <c:crossBetween val="between"/>
        <c:majorUnit val="40"/>
      </c:valAx>
      <c:catAx>
        <c:axId val="16101235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10121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'summary 1'!$C$3</c:f>
              <c:strCache>
                <c:ptCount val="1"/>
                <c:pt idx="0">
                  <c:v>ave new head depth (m)</c:v>
                </c:pt>
              </c:strCache>
            </c:strRef>
          </c:tx>
          <c:invertIfNegative val="0"/>
          <c:cat>
            <c:strRef>
              <c:f>'summary 1'!$A$4:$A$16</c:f>
              <c:strCache>
                <c:ptCount val="13"/>
                <c:pt idx="0">
                  <c:v>G1</c:v>
                </c:pt>
                <c:pt idx="1">
                  <c:v>G2</c:v>
                </c:pt>
                <c:pt idx="2">
                  <c:v>G3</c:v>
                </c:pt>
                <c:pt idx="3">
                  <c:v>G4</c:v>
                </c:pt>
                <c:pt idx="4">
                  <c:v>G5</c:v>
                </c:pt>
                <c:pt idx="5">
                  <c:v>G6</c:v>
                </c:pt>
                <c:pt idx="6">
                  <c:v>G7</c:v>
                </c:pt>
                <c:pt idx="7">
                  <c:v>G8</c:v>
                </c:pt>
                <c:pt idx="8">
                  <c:v>G9</c:v>
                </c:pt>
                <c:pt idx="9">
                  <c:v>G10</c:v>
                </c:pt>
                <c:pt idx="10">
                  <c:v>G11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'summary 1'!$C$4:$C$16</c:f>
              <c:numCache>
                <c:formatCode>0.00</c:formatCode>
                <c:ptCount val="13"/>
                <c:pt idx="0">
                  <c:v>3.9</c:v>
                </c:pt>
                <c:pt idx="1">
                  <c:v>2.2000000000000002</c:v>
                </c:pt>
                <c:pt idx="2">
                  <c:v>1.4</c:v>
                </c:pt>
                <c:pt idx="3">
                  <c:v>2</c:v>
                </c:pt>
                <c:pt idx="4">
                  <c:v>4.8</c:v>
                </c:pt>
                <c:pt idx="5">
                  <c:v>4.5999999999999996</c:v>
                </c:pt>
                <c:pt idx="6">
                  <c:v>1.4</c:v>
                </c:pt>
                <c:pt idx="7">
                  <c:v>3.3</c:v>
                </c:pt>
                <c:pt idx="8">
                  <c:v>3.4</c:v>
                </c:pt>
                <c:pt idx="9">
                  <c:v>2.5</c:v>
                </c:pt>
                <c:pt idx="10">
                  <c:v>4.2</c:v>
                </c:pt>
                <c:pt idx="11">
                  <c:v>1.9</c:v>
                </c:pt>
                <c:pt idx="12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0123024"/>
        <c:axId val="1610124112"/>
      </c:barChart>
      <c:lineChart>
        <c:grouping val="stacked"/>
        <c:varyColors val="0"/>
        <c:ser>
          <c:idx val="2"/>
          <c:order val="0"/>
          <c:tx>
            <c:strRef>
              <c:f>'summary 1'!$B$3</c:f>
              <c:strCache>
                <c:ptCount val="1"/>
                <c:pt idx="0">
                  <c:v>Min. water table depth (m)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ln>
                <a:solidFill>
                  <a:srgbClr val="0070C0"/>
                </a:solidFill>
              </a:ln>
            </c:spPr>
          </c:marker>
          <c:dPt>
            <c:idx val="9"/>
            <c:marker>
              <c:symbol val="triangle"/>
              <c:size val="7"/>
            </c:marker>
            <c:bubble3D val="0"/>
          </c:dPt>
          <c:cat>
            <c:strRef>
              <c:f>'summary 1'!$A$4:$A$16</c:f>
              <c:strCache>
                <c:ptCount val="13"/>
                <c:pt idx="0">
                  <c:v>G1</c:v>
                </c:pt>
                <c:pt idx="1">
                  <c:v>G2</c:v>
                </c:pt>
                <c:pt idx="2">
                  <c:v>G3</c:v>
                </c:pt>
                <c:pt idx="3">
                  <c:v>G4</c:v>
                </c:pt>
                <c:pt idx="4">
                  <c:v>G5</c:v>
                </c:pt>
                <c:pt idx="5">
                  <c:v>G6</c:v>
                </c:pt>
                <c:pt idx="6">
                  <c:v>G7</c:v>
                </c:pt>
                <c:pt idx="7">
                  <c:v>G8</c:v>
                </c:pt>
                <c:pt idx="8">
                  <c:v>G9</c:v>
                </c:pt>
                <c:pt idx="9">
                  <c:v>G10</c:v>
                </c:pt>
                <c:pt idx="10">
                  <c:v>G11</c:v>
                </c:pt>
                <c:pt idx="11">
                  <c:v>G12</c:v>
                </c:pt>
                <c:pt idx="12">
                  <c:v>G13</c:v>
                </c:pt>
              </c:strCache>
            </c:strRef>
          </c:cat>
          <c:val>
            <c:numRef>
              <c:f>'summary 1'!$B$4:$B$16</c:f>
              <c:numCache>
                <c:formatCode>0.00</c:formatCode>
                <c:ptCount val="13"/>
                <c:pt idx="0">
                  <c:v>1.5</c:v>
                </c:pt>
                <c:pt idx="1">
                  <c:v>1.22</c:v>
                </c:pt>
                <c:pt idx="2">
                  <c:v>0.02</c:v>
                </c:pt>
                <c:pt idx="3">
                  <c:v>0.59</c:v>
                </c:pt>
                <c:pt idx="4">
                  <c:v>0.05</c:v>
                </c:pt>
                <c:pt idx="5">
                  <c:v>7.4999999999999997E-2</c:v>
                </c:pt>
                <c:pt idx="6">
                  <c:v>1.36</c:v>
                </c:pt>
                <c:pt idx="7">
                  <c:v>6.5000000000000002E-2</c:v>
                </c:pt>
                <c:pt idx="8">
                  <c:v>1.2</c:v>
                </c:pt>
                <c:pt idx="9">
                  <c:v>1.44</c:v>
                </c:pt>
                <c:pt idx="10">
                  <c:v>0.45</c:v>
                </c:pt>
                <c:pt idx="11">
                  <c:v>1.38</c:v>
                </c:pt>
                <c:pt idx="12">
                  <c:v>1.25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123024"/>
        <c:axId val="1610124112"/>
      </c:lineChart>
      <c:catAx>
        <c:axId val="16101230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Gully name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10124112"/>
        <c:crosses val="autoZero"/>
        <c:auto val="1"/>
        <c:lblAlgn val="ctr"/>
        <c:lblOffset val="100"/>
        <c:noMultiLvlLbl val="0"/>
      </c:catAx>
      <c:valAx>
        <c:axId val="1610124112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10123024"/>
        <c:crosses val="autoZero"/>
        <c:crossBetween val="between"/>
        <c:majorUnit val="1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1'!$A$4</c:f>
              <c:strCache>
                <c:ptCount val="1"/>
                <c:pt idx="0">
                  <c:v>G1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1'!$E$4:$I$4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'summary 1'!$A$5</c:f>
              <c:strCache>
                <c:ptCount val="1"/>
                <c:pt idx="0">
                  <c:v>G2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1'!$E$5:$I$5</c:f>
              <c:numCache>
                <c:formatCode>General</c:formatCode>
                <c:ptCount val="5"/>
                <c:pt idx="3">
                  <c:v>1</c:v>
                </c:pt>
                <c:pt idx="4">
                  <c:v>1.2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'summary 1'!$A$6</c:f>
              <c:strCache>
                <c:ptCount val="1"/>
                <c:pt idx="0">
                  <c:v>G3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1'!$E$6:$I$6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21</c:v>
                </c:pt>
                <c:pt idx="4">
                  <c:v>36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'summary 1'!$A$7</c:f>
              <c:strCache>
                <c:ptCount val="1"/>
                <c:pt idx="0">
                  <c:v>G4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1'!$E$7:$I$7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4.4000000000000004</c:v>
                </c:pt>
                <c:pt idx="4">
                  <c:v>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'summary 1'!$A$8</c:f>
              <c:strCache>
                <c:ptCount val="1"/>
                <c:pt idx="0">
                  <c:v>G5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1'!$E$8:$I$8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7.5</c:v>
                </c:pt>
                <c:pt idx="4">
                  <c:v>10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'summary 1'!$A$10</c:f>
              <c:strCache>
                <c:ptCount val="1"/>
                <c:pt idx="0">
                  <c:v>G7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1'!$E$10:$I$10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'summary 1'!$A$11</c:f>
              <c:strCache>
                <c:ptCount val="1"/>
                <c:pt idx="0">
                  <c:v>G8</c:v>
                </c:pt>
              </c:strCache>
            </c:strRef>
          </c:tx>
          <c:marker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marker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1'!$E$11:$I$11</c:f>
              <c:numCache>
                <c:formatCode>General</c:formatCode>
                <c:ptCount val="5"/>
                <c:pt idx="0">
                  <c:v>0</c:v>
                </c:pt>
                <c:pt idx="1">
                  <c:v>5.4</c:v>
                </c:pt>
                <c:pt idx="2">
                  <c:v>15.4</c:v>
                </c:pt>
                <c:pt idx="3">
                  <c:v>21.4</c:v>
                </c:pt>
                <c:pt idx="4">
                  <c:v>24.4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'summary 1'!$A$12</c:f>
              <c:strCache>
                <c:ptCount val="1"/>
                <c:pt idx="0">
                  <c:v>G9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1'!$E$12:$I$12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3.8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'summary 1'!$A$13</c:f>
              <c:strCache>
                <c:ptCount val="1"/>
                <c:pt idx="0">
                  <c:v>G10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1'!$E$13:$I$13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'summary 1'!$A$9</c:f>
              <c:strCache>
                <c:ptCount val="1"/>
                <c:pt idx="0">
                  <c:v>G6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1'!$E$9:$I$9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5.9</c:v>
                </c:pt>
                <c:pt idx="3">
                  <c:v>9.3000000000000007</c:v>
                </c:pt>
                <c:pt idx="4">
                  <c:v>11.9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'summary 1'!$A$14</c:f>
              <c:strCache>
                <c:ptCount val="1"/>
                <c:pt idx="0">
                  <c:v>G11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1'!$E$14:$I$14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3.4</c:v>
                </c:pt>
                <c:pt idx="4">
                  <c:v>6.2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'summary 1'!$A$15</c:f>
              <c:strCache>
                <c:ptCount val="1"/>
                <c:pt idx="0">
                  <c:v>G12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1'!$E$15:$I$15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7.0000000000000007E-2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'summary 1'!$A$16</c:f>
              <c:strCache>
                <c:ptCount val="1"/>
                <c:pt idx="0">
                  <c:v>G13</c:v>
                </c:pt>
              </c:strCache>
            </c:strRef>
          </c:tx>
          <c:xVal>
            <c:numRef>
              <c:f>'summary 1'!$E$3:$I$3</c:f>
              <c:numCache>
                <c:formatCode>m/d/yyyy</c:formatCode>
                <c:ptCount val="5"/>
                <c:pt idx="0">
                  <c:v>41453</c:v>
                </c:pt>
                <c:pt idx="1">
                  <c:v>41478</c:v>
                </c:pt>
                <c:pt idx="2">
                  <c:v>41491</c:v>
                </c:pt>
                <c:pt idx="3">
                  <c:v>41499</c:v>
                </c:pt>
                <c:pt idx="4">
                  <c:v>41516</c:v>
                </c:pt>
              </c:numCache>
            </c:numRef>
          </c:xVal>
          <c:yVal>
            <c:numRef>
              <c:f>'summary 1'!$E$16:$I$16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0125744"/>
        <c:axId val="1610126288"/>
      </c:scatterChart>
      <c:valAx>
        <c:axId val="16101257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610126288"/>
        <c:crosses val="autoZero"/>
        <c:crossBetween val="midCat"/>
      </c:valAx>
      <c:valAx>
        <c:axId val="1610126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Commulative head cut retreat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0125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Upslope retreated L Vs gully headcut depth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Upslope retreated L Vs gully bank angle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3.4847769028871392E-2"/>
                  <c:y val="-0.229371901428988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'summary 1'!$C$4:$C$16</c:f>
              <c:numCache>
                <c:formatCode>0.00</c:formatCode>
                <c:ptCount val="13"/>
                <c:pt idx="0">
                  <c:v>3.9</c:v>
                </c:pt>
                <c:pt idx="1">
                  <c:v>2.2000000000000002</c:v>
                </c:pt>
                <c:pt idx="2">
                  <c:v>1.4</c:v>
                </c:pt>
                <c:pt idx="3">
                  <c:v>2</c:v>
                </c:pt>
                <c:pt idx="4">
                  <c:v>4.8</c:v>
                </c:pt>
                <c:pt idx="5">
                  <c:v>4.5999999999999996</c:v>
                </c:pt>
                <c:pt idx="6">
                  <c:v>1.4</c:v>
                </c:pt>
                <c:pt idx="7">
                  <c:v>3.3</c:v>
                </c:pt>
                <c:pt idx="8">
                  <c:v>3.4</c:v>
                </c:pt>
                <c:pt idx="9">
                  <c:v>2.5</c:v>
                </c:pt>
                <c:pt idx="10">
                  <c:v>4.2</c:v>
                </c:pt>
                <c:pt idx="11">
                  <c:v>1.9</c:v>
                </c:pt>
                <c:pt idx="12">
                  <c:v>1.3</c:v>
                </c:pt>
              </c:numCache>
            </c:numRef>
          </c:xVal>
          <c:yVal>
            <c:numRef>
              <c:f>'summary 1'!$I$4:$I$16</c:f>
              <c:numCache>
                <c:formatCode>General</c:formatCode>
                <c:ptCount val="13"/>
                <c:pt idx="0">
                  <c:v>0.4</c:v>
                </c:pt>
                <c:pt idx="1">
                  <c:v>1.2</c:v>
                </c:pt>
                <c:pt idx="2">
                  <c:v>36</c:v>
                </c:pt>
                <c:pt idx="3">
                  <c:v>7</c:v>
                </c:pt>
                <c:pt idx="4">
                  <c:v>10</c:v>
                </c:pt>
                <c:pt idx="5">
                  <c:v>11.9</c:v>
                </c:pt>
                <c:pt idx="6">
                  <c:v>0.2</c:v>
                </c:pt>
                <c:pt idx="7">
                  <c:v>24.4</c:v>
                </c:pt>
                <c:pt idx="8">
                  <c:v>3.8</c:v>
                </c:pt>
                <c:pt idx="9">
                  <c:v>0.7</c:v>
                </c:pt>
                <c:pt idx="10">
                  <c:v>6.2</c:v>
                </c:pt>
                <c:pt idx="11">
                  <c:v>7.0000000000000007E-2</c:v>
                </c:pt>
                <c:pt idx="12">
                  <c:v>0.04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93216"/>
        <c:axId val="1666592672"/>
      </c:scatterChart>
      <c:valAx>
        <c:axId val="166659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92672"/>
        <c:crosses val="autoZero"/>
        <c:crossBetween val="midCat"/>
      </c:valAx>
      <c:valAx>
        <c:axId val="16665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9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10" Type="http://schemas.openxmlformats.org/officeDocument/2006/relationships/image" Target="../media/image3.png"/><Relationship Id="rId4" Type="http://schemas.openxmlformats.org/officeDocument/2006/relationships/chart" Target="../charts/chart13.xml"/><Relationship Id="rId9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300037</xdr:colOff>
      <xdr:row>1</xdr:row>
      <xdr:rowOff>176212</xdr:rowOff>
    </xdr:from>
    <xdr:to>
      <xdr:col>78</xdr:col>
      <xdr:colOff>604837</xdr:colOff>
      <xdr:row>16</xdr:row>
      <xdr:rowOff>4762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63</xdr:col>
      <xdr:colOff>466725</xdr:colOff>
      <xdr:row>29</xdr:row>
      <xdr:rowOff>47625</xdr:rowOff>
    </xdr:from>
    <xdr:to>
      <xdr:col>72</xdr:col>
      <xdr:colOff>123825</xdr:colOff>
      <xdr:row>43</xdr:row>
      <xdr:rowOff>85725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31</xdr:row>
      <xdr:rowOff>90487</xdr:rowOff>
    </xdr:from>
    <xdr:to>
      <xdr:col>23</xdr:col>
      <xdr:colOff>566737</xdr:colOff>
      <xdr:row>32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547687</xdr:colOff>
      <xdr:row>31</xdr:row>
      <xdr:rowOff>90487</xdr:rowOff>
    </xdr:from>
    <xdr:to>
      <xdr:col>31</xdr:col>
      <xdr:colOff>52387</xdr:colOff>
      <xdr:row>32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66</xdr:col>
      <xdr:colOff>412750</xdr:colOff>
      <xdr:row>16</xdr:row>
      <xdr:rowOff>94191</xdr:rowOff>
    </xdr:from>
    <xdr:to>
      <xdr:col>73</xdr:col>
      <xdr:colOff>359834</xdr:colOff>
      <xdr:row>30</xdr:row>
      <xdr:rowOff>128058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47625</xdr:colOff>
      <xdr:row>9</xdr:row>
      <xdr:rowOff>171450</xdr:rowOff>
    </xdr:from>
    <xdr:to>
      <xdr:col>28</xdr:col>
      <xdr:colOff>352425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22</xdr:row>
      <xdr:rowOff>50800</xdr:rowOff>
    </xdr:from>
    <xdr:to>
      <xdr:col>18</xdr:col>
      <xdr:colOff>307974</xdr:colOff>
      <xdr:row>45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342900</xdr:colOff>
      <xdr:row>0</xdr:row>
      <xdr:rowOff>165100</xdr:rowOff>
    </xdr:from>
    <xdr:to>
      <xdr:col>21</xdr:col>
      <xdr:colOff>152400</xdr:colOff>
      <xdr:row>20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50800</xdr:rowOff>
    </xdr:from>
    <xdr:to>
      <xdr:col>9</xdr:col>
      <xdr:colOff>76200</xdr:colOff>
      <xdr:row>58</xdr:row>
      <xdr:rowOff>127000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22</xdr:row>
      <xdr:rowOff>19050</xdr:rowOff>
    </xdr:from>
    <xdr:to>
      <xdr:col>14</xdr:col>
      <xdr:colOff>400050</xdr:colOff>
      <xdr:row>36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21</xdr:row>
      <xdr:rowOff>152400</xdr:rowOff>
    </xdr:from>
    <xdr:to>
      <xdr:col>20</xdr:col>
      <xdr:colOff>542925</xdr:colOff>
      <xdr:row>36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252412</xdr:colOff>
      <xdr:row>38</xdr:row>
      <xdr:rowOff>95250</xdr:rowOff>
    </xdr:from>
    <xdr:to>
      <xdr:col>18</xdr:col>
      <xdr:colOff>557212</xdr:colOff>
      <xdr:row>52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200025</xdr:colOff>
      <xdr:row>23</xdr:row>
      <xdr:rowOff>76200</xdr:rowOff>
    </xdr:from>
    <xdr:to>
      <xdr:col>30</xdr:col>
      <xdr:colOff>504825</xdr:colOff>
      <xdr:row>37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38100</xdr:colOff>
      <xdr:row>40</xdr:row>
      <xdr:rowOff>61912</xdr:rowOff>
    </xdr:from>
    <xdr:to>
      <xdr:col>19</xdr:col>
      <xdr:colOff>342900</xdr:colOff>
      <xdr:row>54</xdr:row>
      <xdr:rowOff>138112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238125</xdr:colOff>
      <xdr:row>55</xdr:row>
      <xdr:rowOff>138112</xdr:rowOff>
    </xdr:from>
    <xdr:to>
      <xdr:col>14</xdr:col>
      <xdr:colOff>542925</xdr:colOff>
      <xdr:row>70</xdr:row>
      <xdr:rowOff>23812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66675</xdr:colOff>
      <xdr:row>21</xdr:row>
      <xdr:rowOff>147637</xdr:rowOff>
    </xdr:from>
    <xdr:to>
      <xdr:col>7</xdr:col>
      <xdr:colOff>371475</xdr:colOff>
      <xdr:row>36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257175</xdr:colOff>
      <xdr:row>5</xdr:row>
      <xdr:rowOff>4762</xdr:rowOff>
    </xdr:from>
    <xdr:to>
      <xdr:col>27</xdr:col>
      <xdr:colOff>561975</xdr:colOff>
      <xdr:row>22</xdr:row>
      <xdr:rowOff>80962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209550</xdr:colOff>
      <xdr:row>1</xdr:row>
      <xdr:rowOff>247650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0"/>
          <a:ext cx="447675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276225</xdr:colOff>
      <xdr:row>1</xdr:row>
      <xdr:rowOff>304800</xdr:rowOff>
    </xdr:from>
    <xdr:to>
      <xdr:col>23</xdr:col>
      <xdr:colOff>247650</xdr:colOff>
      <xdr:row>2</xdr:row>
      <xdr:rowOff>180975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495300"/>
          <a:ext cx="42386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80962</xdr:rowOff>
    </xdr:from>
    <xdr:to>
      <xdr:col>7</xdr:col>
      <xdr:colOff>200025</xdr:colOff>
      <xdr:row>26</xdr:row>
      <xdr:rowOff>157162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ssefa%20PhD%20stuff\from%20new%20cu\data_DM_2013\tensio%20meter\tensiome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G"/>
      <sheetName val="Assefa"/>
      <sheetName val="both"/>
    </sheetNames>
    <sheetDataSet>
      <sheetData sheetId="0" refreshError="1"/>
      <sheetData sheetId="1" refreshError="1"/>
      <sheetData sheetId="2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B3">
            <v>-8</v>
          </cell>
          <cell r="C3">
            <v>-4</v>
          </cell>
          <cell r="D3">
            <v>-2</v>
          </cell>
          <cell r="E3">
            <v>0</v>
          </cell>
        </row>
        <row r="4">
          <cell r="B4">
            <v>-10</v>
          </cell>
          <cell r="C4">
            <v>-4</v>
          </cell>
          <cell r="D4">
            <v>-2</v>
          </cell>
          <cell r="E4">
            <v>0</v>
          </cell>
        </row>
        <row r="5">
          <cell r="B5">
            <v>-10</v>
          </cell>
          <cell r="C5">
            <v>-6</v>
          </cell>
          <cell r="D5">
            <v>-2</v>
          </cell>
          <cell r="E5">
            <v>0</v>
          </cell>
        </row>
        <row r="6">
          <cell r="B6">
            <v>-10</v>
          </cell>
          <cell r="C6">
            <v>-6</v>
          </cell>
          <cell r="D6">
            <v>-2</v>
          </cell>
          <cell r="E6">
            <v>0</v>
          </cell>
        </row>
        <row r="7">
          <cell r="B7">
            <v>-10</v>
          </cell>
          <cell r="C7">
            <v>-6</v>
          </cell>
          <cell r="D7">
            <v>-2</v>
          </cell>
          <cell r="E7">
            <v>0</v>
          </cell>
        </row>
        <row r="8">
          <cell r="B8">
            <v>-10</v>
          </cell>
          <cell r="C8">
            <v>-8</v>
          </cell>
          <cell r="D8">
            <v>-2</v>
          </cell>
          <cell r="E8">
            <v>0</v>
          </cell>
        </row>
        <row r="9">
          <cell r="B9">
            <v>-10</v>
          </cell>
          <cell r="C9">
            <v>-8</v>
          </cell>
          <cell r="D9">
            <v>-4</v>
          </cell>
          <cell r="E9">
            <v>0</v>
          </cell>
        </row>
        <row r="10">
          <cell r="B10">
            <v>-10</v>
          </cell>
          <cell r="C10">
            <v>-8</v>
          </cell>
          <cell r="D10">
            <v>-6</v>
          </cell>
          <cell r="E10">
            <v>0</v>
          </cell>
        </row>
        <row r="11">
          <cell r="B11">
            <v>-10</v>
          </cell>
          <cell r="C11">
            <v>-8</v>
          </cell>
          <cell r="D11">
            <v>-6</v>
          </cell>
          <cell r="E11">
            <v>0</v>
          </cell>
        </row>
        <row r="12">
          <cell r="B12">
            <v>-10</v>
          </cell>
          <cell r="C12">
            <v>-8</v>
          </cell>
          <cell r="D12">
            <v>-6</v>
          </cell>
          <cell r="E12">
            <v>0</v>
          </cell>
        </row>
        <row r="13">
          <cell r="B13">
            <v>-10</v>
          </cell>
          <cell r="C13">
            <v>-8</v>
          </cell>
          <cell r="D13">
            <v>-6</v>
          </cell>
          <cell r="E13">
            <v>0</v>
          </cell>
        </row>
        <row r="14">
          <cell r="B14">
            <v>-10</v>
          </cell>
          <cell r="C14">
            <v>-8</v>
          </cell>
          <cell r="D14">
            <v>-6</v>
          </cell>
          <cell r="E14">
            <v>0</v>
          </cell>
        </row>
        <row r="15">
          <cell r="B15">
            <v>-10</v>
          </cell>
          <cell r="C15">
            <v>-8</v>
          </cell>
          <cell r="D15">
            <v>-6</v>
          </cell>
          <cell r="E15">
            <v>0</v>
          </cell>
        </row>
        <row r="16">
          <cell r="B16">
            <v>-10</v>
          </cell>
          <cell r="C16">
            <v>-8</v>
          </cell>
          <cell r="D16">
            <v>-6</v>
          </cell>
          <cell r="E16">
            <v>0</v>
          </cell>
        </row>
        <row r="17">
          <cell r="B17">
            <v>-10</v>
          </cell>
          <cell r="C17">
            <v>-8</v>
          </cell>
          <cell r="D17">
            <v>-6</v>
          </cell>
          <cell r="E17">
            <v>0</v>
          </cell>
        </row>
        <row r="18">
          <cell r="B18">
            <v>-10</v>
          </cell>
          <cell r="C18">
            <v>-6</v>
          </cell>
          <cell r="D18">
            <v>-6</v>
          </cell>
          <cell r="E18">
            <v>0</v>
          </cell>
        </row>
        <row r="19">
          <cell r="B19">
            <v>-10</v>
          </cell>
          <cell r="C19">
            <v>-6</v>
          </cell>
          <cell r="D19">
            <v>-4</v>
          </cell>
          <cell r="E19">
            <v>0</v>
          </cell>
        </row>
        <row r="20">
          <cell r="B20">
            <v>-10</v>
          </cell>
          <cell r="C20">
            <v>-6</v>
          </cell>
          <cell r="D20">
            <v>-4</v>
          </cell>
          <cell r="E20">
            <v>0</v>
          </cell>
        </row>
        <row r="21">
          <cell r="B21">
            <v>-10</v>
          </cell>
          <cell r="C21">
            <v>-6</v>
          </cell>
          <cell r="D21">
            <v>-4</v>
          </cell>
          <cell r="E21">
            <v>0</v>
          </cell>
        </row>
        <row r="22">
          <cell r="B22">
            <v>-10</v>
          </cell>
          <cell r="C22">
            <v>-6</v>
          </cell>
          <cell r="D22">
            <v>-4</v>
          </cell>
          <cell r="E22">
            <v>0</v>
          </cell>
        </row>
        <row r="23">
          <cell r="B23">
            <v>-10</v>
          </cell>
          <cell r="C23">
            <v>-6</v>
          </cell>
          <cell r="D23">
            <v>-4</v>
          </cell>
          <cell r="E23">
            <v>0</v>
          </cell>
        </row>
        <row r="24">
          <cell r="B24">
            <v>-10</v>
          </cell>
          <cell r="C24">
            <v>-6</v>
          </cell>
          <cell r="D24">
            <v>-4</v>
          </cell>
          <cell r="E24">
            <v>0</v>
          </cell>
        </row>
        <row r="25">
          <cell r="B25">
            <v>-10</v>
          </cell>
          <cell r="C25">
            <v>-6</v>
          </cell>
          <cell r="D25">
            <v>-4</v>
          </cell>
          <cell r="E25">
            <v>0</v>
          </cell>
        </row>
        <row r="26">
          <cell r="B26">
            <v>-10</v>
          </cell>
          <cell r="C26">
            <v>-4</v>
          </cell>
          <cell r="D26">
            <v>-4</v>
          </cell>
          <cell r="E26">
            <v>0</v>
          </cell>
        </row>
        <row r="27">
          <cell r="B27">
            <v>-10</v>
          </cell>
          <cell r="C27">
            <v>-6</v>
          </cell>
          <cell r="D27">
            <v>-4</v>
          </cell>
          <cell r="E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4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7"/>
  <sheetViews>
    <sheetView topLeftCell="AD1" zoomScale="110" zoomScaleNormal="110" workbookViewId="0">
      <selection activeCell="AQ8" sqref="AQ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4" width="9.7109375" bestFit="1" customWidth="1"/>
    <col min="6" max="6" width="9.7109375" bestFit="1" customWidth="1"/>
    <col min="11" max="11" width="9.7109375" bestFit="1" customWidth="1"/>
    <col min="23" max="23" width="9.7109375" bestFit="1" customWidth="1"/>
    <col min="29" max="29" width="9.7109375" bestFit="1" customWidth="1"/>
    <col min="34" max="34" width="9.7109375" bestFit="1" customWidth="1"/>
    <col min="37" max="38" width="9.7109375" bestFit="1" customWidth="1"/>
  </cols>
  <sheetData>
    <row r="1" spans="1:47" x14ac:dyDescent="0.25">
      <c r="C1" s="1"/>
      <c r="D1" s="2"/>
      <c r="E1" s="2"/>
      <c r="F1" s="2"/>
      <c r="G1" s="2"/>
      <c r="I1" s="102"/>
      <c r="J1" s="102"/>
      <c r="K1" s="102"/>
      <c r="L1" s="102"/>
      <c r="M1" s="102"/>
      <c r="N1" s="10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47">
        <v>41491</v>
      </c>
      <c r="AJ1" s="47">
        <v>41495</v>
      </c>
      <c r="AK1" s="47">
        <v>41517</v>
      </c>
    </row>
    <row r="2" spans="1:47" ht="15.75" thickBot="1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/>
      <c r="AI2" s="218"/>
      <c r="AJ2" s="218"/>
      <c r="AK2" s="218"/>
      <c r="AL2" s="218"/>
      <c r="AM2" s="218"/>
      <c r="AN2" s="218"/>
      <c r="AO2" s="218"/>
      <c r="AP2" s="3"/>
      <c r="AQ2" s="3"/>
      <c r="AR2" s="3"/>
      <c r="AS2" s="3"/>
      <c r="AT2" s="3"/>
      <c r="AU2" s="3"/>
    </row>
    <row r="3" spans="1:47" x14ac:dyDescent="0.25">
      <c r="C3" s="1"/>
      <c r="D3" s="47">
        <v>41453</v>
      </c>
      <c r="E3" s="102"/>
      <c r="F3" s="2"/>
      <c r="G3" s="2"/>
      <c r="K3" s="102">
        <v>41478</v>
      </c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J3" s="105">
        <v>41491</v>
      </c>
      <c r="AK3" s="105">
        <v>41495</v>
      </c>
      <c r="AL3" s="106">
        <v>41516</v>
      </c>
      <c r="AM3" s="103">
        <v>41453</v>
      </c>
      <c r="AO3" s="105">
        <v>41491</v>
      </c>
      <c r="AP3" s="105">
        <v>41495</v>
      </c>
      <c r="AQ3" s="106" t="s">
        <v>2</v>
      </c>
      <c r="AR3" s="1"/>
    </row>
    <row r="4" spans="1:47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/>
      <c r="J4" s="4"/>
      <c r="K4" s="4"/>
      <c r="L4" s="4"/>
      <c r="M4" s="4"/>
      <c r="N4" s="4"/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J4" s="71" t="s">
        <v>32</v>
      </c>
      <c r="AK4" s="71" t="s">
        <v>33</v>
      </c>
      <c r="AL4" s="71" t="s">
        <v>34</v>
      </c>
      <c r="AM4" s="70" t="s">
        <v>37</v>
      </c>
      <c r="AO4" s="71" t="s">
        <v>38</v>
      </c>
      <c r="AP4" s="71" t="s">
        <v>39</v>
      </c>
      <c r="AQ4" s="71" t="s">
        <v>40</v>
      </c>
      <c r="AS4" s="197" t="s">
        <v>10</v>
      </c>
      <c r="AT4" s="197" t="s">
        <v>12</v>
      </c>
      <c r="AU4" s="197" t="s">
        <v>154</v>
      </c>
    </row>
    <row r="5" spans="1:47" x14ac:dyDescent="0.25">
      <c r="A5" s="219" t="s">
        <v>13</v>
      </c>
      <c r="B5" s="5" t="s">
        <v>10</v>
      </c>
      <c r="C5" s="121"/>
      <c r="D5" s="122"/>
      <c r="E5" s="122"/>
      <c r="F5" s="122"/>
      <c r="G5" s="122"/>
      <c r="H5" s="123"/>
      <c r="I5" s="116"/>
      <c r="J5" s="116"/>
      <c r="K5" s="116"/>
      <c r="L5" s="116"/>
      <c r="M5" s="116"/>
      <c r="N5" s="116"/>
      <c r="O5" s="121"/>
      <c r="P5" s="122"/>
      <c r="Q5" s="122"/>
      <c r="R5" s="122"/>
      <c r="S5" s="122"/>
      <c r="T5" s="123"/>
      <c r="U5" s="10"/>
      <c r="V5" s="10"/>
      <c r="W5" s="10"/>
      <c r="X5" s="10"/>
      <c r="Y5" s="10"/>
      <c r="Z5" s="11"/>
      <c r="AA5" s="10">
        <v>-4.0999999999999996</v>
      </c>
      <c r="AB5" s="10">
        <v>-3</v>
      </c>
      <c r="AC5" s="10">
        <v>-2</v>
      </c>
      <c r="AD5" s="10">
        <v>2</v>
      </c>
      <c r="AE5" s="10">
        <v>3</v>
      </c>
      <c r="AF5" s="11">
        <v>3.8</v>
      </c>
      <c r="AG5" s="16" t="s">
        <v>14</v>
      </c>
      <c r="AH5" s="140">
        <f t="shared" ref="AH5:AI7" si="0">AG14</f>
        <v>0</v>
      </c>
      <c r="AI5" s="140">
        <f t="shared" si="0"/>
        <v>0</v>
      </c>
      <c r="AJ5" s="140">
        <f t="shared" ref="AJ5:AL7" si="1">AI14</f>
        <v>0</v>
      </c>
      <c r="AK5" s="75">
        <f t="shared" si="1"/>
        <v>0</v>
      </c>
      <c r="AL5" s="75">
        <f t="shared" si="1"/>
        <v>21.92</v>
      </c>
      <c r="AM5" s="49"/>
      <c r="AN5" s="49"/>
      <c r="AO5" s="49"/>
      <c r="AP5" s="49"/>
      <c r="AQ5" s="81"/>
      <c r="AR5" t="s">
        <v>9</v>
      </c>
      <c r="AS5">
        <f>AF5-AA5</f>
        <v>7.8999999999999995</v>
      </c>
      <c r="AT5">
        <f>AA7</f>
        <v>0.4</v>
      </c>
    </row>
    <row r="6" spans="1:47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5"/>
      <c r="J6" s="125"/>
      <c r="K6" s="125"/>
      <c r="L6" s="125"/>
      <c r="M6" s="125"/>
      <c r="N6" s="125"/>
      <c r="O6" s="124"/>
      <c r="P6" s="125"/>
      <c r="Q6" s="125"/>
      <c r="R6" s="125"/>
      <c r="S6" s="125"/>
      <c r="T6" s="126"/>
      <c r="U6" s="16"/>
      <c r="V6" s="16"/>
      <c r="W6" s="16"/>
      <c r="X6" s="16"/>
      <c r="Y6" s="16"/>
      <c r="Z6" s="17"/>
      <c r="AA6" s="16">
        <v>0</v>
      </c>
      <c r="AB6" s="16">
        <v>-1.8</v>
      </c>
      <c r="AC6" s="16">
        <v>-3.7</v>
      </c>
      <c r="AD6" s="16">
        <v>-3.7</v>
      </c>
      <c r="AE6" s="16">
        <v>-1.7</v>
      </c>
      <c r="AF6" s="17">
        <v>0</v>
      </c>
      <c r="AG6" s="16" t="s">
        <v>13</v>
      </c>
      <c r="AH6" s="134">
        <f t="shared" si="0"/>
        <v>22.184000000000001</v>
      </c>
      <c r="AI6" s="134">
        <f t="shared" si="0"/>
        <v>22.184000000000001</v>
      </c>
      <c r="AJ6" s="134">
        <f t="shared" si="1"/>
        <v>22.655000000000001</v>
      </c>
      <c r="AK6" s="75">
        <f t="shared" si="1"/>
        <v>22.655000000000001</v>
      </c>
      <c r="AL6" s="75">
        <f t="shared" si="1"/>
        <v>22.405000000000001</v>
      </c>
      <c r="AM6" s="141"/>
      <c r="AN6" s="141"/>
      <c r="AO6" s="141"/>
      <c r="AP6" s="82">
        <v>0</v>
      </c>
      <c r="AQ6" s="82">
        <f>(AL5+AL6)/2*$AA$7</f>
        <v>8.8650000000000002</v>
      </c>
      <c r="AR6" t="s">
        <v>13</v>
      </c>
      <c r="AS6">
        <f>AF8-AA8</f>
        <v>8.5</v>
      </c>
      <c r="AT6">
        <f>AA10</f>
        <v>1.6</v>
      </c>
    </row>
    <row r="7" spans="1:47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8"/>
      <c r="J7" s="118"/>
      <c r="K7" s="118"/>
      <c r="L7" s="118"/>
      <c r="M7" s="118"/>
      <c r="N7" s="118"/>
      <c r="O7" s="117"/>
      <c r="P7" s="118"/>
      <c r="Q7" s="118"/>
      <c r="R7" s="118"/>
      <c r="S7" s="118"/>
      <c r="T7" s="119"/>
      <c r="U7" s="22"/>
      <c r="V7" s="23"/>
      <c r="W7" s="23"/>
      <c r="X7" s="23"/>
      <c r="Y7" s="23"/>
      <c r="Z7" s="24"/>
      <c r="AA7" s="25">
        <v>0.4</v>
      </c>
      <c r="AB7" s="25"/>
      <c r="AC7" s="25"/>
      <c r="AD7" s="25"/>
      <c r="AE7" s="25"/>
      <c r="AF7" s="26"/>
      <c r="AG7" s="16" t="s">
        <v>9</v>
      </c>
      <c r="AH7" s="134">
        <f t="shared" si="0"/>
        <v>35.540000000000006</v>
      </c>
      <c r="AI7" s="134">
        <f t="shared" si="0"/>
        <v>35.540000000000006</v>
      </c>
      <c r="AJ7" s="134">
        <f t="shared" si="1"/>
        <v>36.725000000000009</v>
      </c>
      <c r="AK7" s="75">
        <f t="shared" si="1"/>
        <v>36.725000000000009</v>
      </c>
      <c r="AL7" s="75">
        <f t="shared" si="1"/>
        <v>36.725000000000009</v>
      </c>
      <c r="AM7" s="73">
        <f>(AH6+AH7)/2*$AA$10</f>
        <v>46.179200000000009</v>
      </c>
      <c r="AN7" s="73">
        <f>(AI6+AI7)/2*$AA$10</f>
        <v>46.179200000000009</v>
      </c>
      <c r="AO7" s="73">
        <f>(AJ6+AJ7)/2*$AA$10</f>
        <v>47.504000000000012</v>
      </c>
      <c r="AP7" s="73">
        <f>(AK6+AK7)/2*$AA$10</f>
        <v>47.504000000000012</v>
      </c>
      <c r="AQ7" s="73">
        <f>(AL6+AL7)/2*$AA$10</f>
        <v>47.304000000000009</v>
      </c>
      <c r="AR7" t="s">
        <v>14</v>
      </c>
      <c r="AS7" s="211">
        <f>AF11-AA11</f>
        <v>12.5</v>
      </c>
    </row>
    <row r="8" spans="1:47" x14ac:dyDescent="0.25">
      <c r="A8" s="219" t="s">
        <v>9</v>
      </c>
      <c r="B8" s="12" t="s">
        <v>10</v>
      </c>
      <c r="C8" s="16">
        <v>-4</v>
      </c>
      <c r="D8" s="131">
        <v>-3</v>
      </c>
      <c r="E8" s="131">
        <v>-2</v>
      </c>
      <c r="F8" s="131">
        <v>2</v>
      </c>
      <c r="G8" s="131">
        <v>2.9</v>
      </c>
      <c r="H8" s="29">
        <v>4.2</v>
      </c>
      <c r="I8" s="16">
        <v>-4</v>
      </c>
      <c r="J8" s="194">
        <v>-3</v>
      </c>
      <c r="K8" s="194">
        <v>-2</v>
      </c>
      <c r="L8" s="194">
        <v>2</v>
      </c>
      <c r="M8" s="194">
        <v>2.9</v>
      </c>
      <c r="N8" s="29">
        <v>4.2</v>
      </c>
      <c r="O8" s="16">
        <v>-4.3</v>
      </c>
      <c r="P8" s="131">
        <v>-3</v>
      </c>
      <c r="Q8" s="131">
        <v>-2</v>
      </c>
      <c r="R8" s="131">
        <v>2</v>
      </c>
      <c r="S8" s="131">
        <v>3</v>
      </c>
      <c r="T8" s="29">
        <v>4.2</v>
      </c>
      <c r="U8" s="16">
        <v>-4.3</v>
      </c>
      <c r="V8" s="131">
        <v>-3</v>
      </c>
      <c r="W8" s="131">
        <v>-2</v>
      </c>
      <c r="X8" s="131">
        <v>2</v>
      </c>
      <c r="Y8" s="131">
        <v>3</v>
      </c>
      <c r="Z8" s="29">
        <v>4.2</v>
      </c>
      <c r="AA8" s="16">
        <v>-4.3</v>
      </c>
      <c r="AB8" s="131">
        <v>-3</v>
      </c>
      <c r="AC8" s="131">
        <v>-2</v>
      </c>
      <c r="AD8" s="131">
        <v>2</v>
      </c>
      <c r="AE8" s="131">
        <v>3</v>
      </c>
      <c r="AF8" s="29">
        <v>4.2</v>
      </c>
      <c r="AG8" s="16" t="s">
        <v>85</v>
      </c>
      <c r="AH8" s="74">
        <f>SUM(AH5:AH7)</f>
        <v>57.724000000000004</v>
      </c>
      <c r="AI8" s="74">
        <f>SUM(AI5:AI7)</f>
        <v>57.724000000000004</v>
      </c>
      <c r="AJ8" s="74">
        <f>SUM(AJ5:AJ7)</f>
        <v>59.38000000000001</v>
      </c>
      <c r="AK8" s="74">
        <f>SUM(AK5:AK7)</f>
        <v>59.38000000000001</v>
      </c>
      <c r="AL8" s="74">
        <f>SUM(AL5:AL7)</f>
        <v>81.050000000000011</v>
      </c>
      <c r="AM8" s="82">
        <f>SUM(AM6+AM7)</f>
        <v>46.179200000000009</v>
      </c>
      <c r="AN8" s="82">
        <f>SUM(AN6+AN7)</f>
        <v>46.179200000000009</v>
      </c>
      <c r="AO8" s="82">
        <f>SUM(AO6+AO7)</f>
        <v>47.504000000000012</v>
      </c>
      <c r="AP8" s="82">
        <f>SUM(AP6+AP7)</f>
        <v>47.504000000000012</v>
      </c>
      <c r="AQ8" s="82">
        <f>SUM(AQ6+AQ7)</f>
        <v>56.169000000000011</v>
      </c>
      <c r="AR8" s="63"/>
    </row>
    <row r="9" spans="1:47" x14ac:dyDescent="0.25">
      <c r="A9" s="220"/>
      <c r="B9" s="12" t="s">
        <v>11</v>
      </c>
      <c r="C9" s="16">
        <v>0</v>
      </c>
      <c r="D9" s="131">
        <v>-1.9</v>
      </c>
      <c r="E9" s="131">
        <v>-3.72</v>
      </c>
      <c r="F9" s="131">
        <v>-3.72</v>
      </c>
      <c r="G9" s="131">
        <v>-1.7</v>
      </c>
      <c r="H9" s="29">
        <v>0</v>
      </c>
      <c r="I9" s="16">
        <v>0</v>
      </c>
      <c r="J9" s="194">
        <v>-1.9</v>
      </c>
      <c r="K9" s="194">
        <v>-3.72</v>
      </c>
      <c r="L9" s="194">
        <v>-3.72</v>
      </c>
      <c r="M9" s="194">
        <v>-1.7</v>
      </c>
      <c r="N9" s="29">
        <v>0</v>
      </c>
      <c r="O9" s="16">
        <v>0</v>
      </c>
      <c r="P9" s="131">
        <v>-1.9</v>
      </c>
      <c r="Q9" s="131">
        <v>-3.72</v>
      </c>
      <c r="R9" s="131">
        <v>-3.72</v>
      </c>
      <c r="S9" s="131">
        <v>-1.7</v>
      </c>
      <c r="T9" s="29">
        <v>0</v>
      </c>
      <c r="U9" s="16">
        <v>0</v>
      </c>
      <c r="V9" s="131">
        <v>-1.9</v>
      </c>
      <c r="W9" s="131">
        <v>-3.72</v>
      </c>
      <c r="X9" s="131">
        <v>-3.72</v>
      </c>
      <c r="Y9" s="131">
        <v>-1.7</v>
      </c>
      <c r="Z9" s="29">
        <v>0</v>
      </c>
      <c r="AA9" s="16">
        <v>0</v>
      </c>
      <c r="AB9" s="131">
        <v>-1.9</v>
      </c>
      <c r="AC9" s="131">
        <v>-3.67</v>
      </c>
      <c r="AD9" s="131">
        <v>-3.67</v>
      </c>
      <c r="AE9" s="131">
        <v>-1.7</v>
      </c>
      <c r="AF9" s="29">
        <v>0</v>
      </c>
      <c r="AG9" s="16"/>
      <c r="AH9" s="74"/>
      <c r="AJ9" s="77"/>
      <c r="AK9" s="74"/>
      <c r="AL9" s="75">
        <f>AL8-AH8</f>
        <v>23.326000000000008</v>
      </c>
      <c r="AM9" s="82"/>
      <c r="AO9" s="82">
        <f>AO8-$AM8</f>
        <v>1.3248000000000033</v>
      </c>
      <c r="AP9" s="82">
        <f>AP8-$AM8</f>
        <v>1.3248000000000033</v>
      </c>
      <c r="AQ9" s="82">
        <f>AQ8-$AM8</f>
        <v>9.9898000000000025</v>
      </c>
      <c r="AR9" s="63"/>
    </row>
    <row r="10" spans="1:47" ht="15.75" thickBot="1" x14ac:dyDescent="0.3">
      <c r="A10" s="221"/>
      <c r="AA10" s="16">
        <v>1.6</v>
      </c>
      <c r="AB10" s="131"/>
      <c r="AC10" s="131"/>
      <c r="AD10" s="131"/>
      <c r="AE10" s="131"/>
      <c r="AF10" s="29"/>
      <c r="AG10" s="16"/>
      <c r="AH10" s="74"/>
      <c r="AJ10" s="74"/>
      <c r="AK10" s="74"/>
      <c r="AL10" s="75"/>
      <c r="AM10" s="82"/>
      <c r="AO10" s="82"/>
      <c r="AP10" s="82"/>
      <c r="AQ10" s="83"/>
    </row>
    <row r="11" spans="1:47" x14ac:dyDescent="0.25">
      <c r="A11" s="47"/>
      <c r="B11" s="12" t="s">
        <v>12</v>
      </c>
      <c r="C11" s="10">
        <v>-6</v>
      </c>
      <c r="D11" s="10">
        <v>-3.5</v>
      </c>
      <c r="E11" s="10">
        <v>-2.7</v>
      </c>
      <c r="F11" s="10">
        <v>2.7</v>
      </c>
      <c r="G11" s="10">
        <v>3.6</v>
      </c>
      <c r="H11" s="11">
        <v>5.6</v>
      </c>
      <c r="I11" s="10">
        <v>-6</v>
      </c>
      <c r="J11" s="10">
        <v>-3.5</v>
      </c>
      <c r="K11" s="10">
        <v>-2.7</v>
      </c>
      <c r="L11" s="10">
        <v>2.7</v>
      </c>
      <c r="M11" s="10">
        <v>3.6</v>
      </c>
      <c r="N11" s="11">
        <v>5.6</v>
      </c>
      <c r="O11" s="10">
        <v>-6.3</v>
      </c>
      <c r="P11" s="10">
        <v>-3.5</v>
      </c>
      <c r="Q11" s="10">
        <v>-2.7</v>
      </c>
      <c r="R11" s="10">
        <v>2.7</v>
      </c>
      <c r="S11" s="10">
        <v>3.6</v>
      </c>
      <c r="T11" s="11">
        <v>6.2</v>
      </c>
      <c r="U11" s="10">
        <v>-6.3</v>
      </c>
      <c r="V11" s="10">
        <v>-3.5</v>
      </c>
      <c r="W11" s="10">
        <v>-2.7</v>
      </c>
      <c r="X11" s="10">
        <v>2.7</v>
      </c>
      <c r="Y11" s="10">
        <v>3.6</v>
      </c>
      <c r="Z11" s="11">
        <v>6.2</v>
      </c>
      <c r="AA11" s="10">
        <v>-6.3</v>
      </c>
      <c r="AB11" s="10">
        <v>-3.5</v>
      </c>
      <c r="AC11" s="10">
        <v>-2.7</v>
      </c>
      <c r="AD11" s="10">
        <v>2.7</v>
      </c>
      <c r="AE11" s="10">
        <v>3.6</v>
      </c>
      <c r="AF11" s="11">
        <v>6.2</v>
      </c>
      <c r="AK11" t="s">
        <v>79</v>
      </c>
      <c r="AM11" s="64">
        <f>(AD6+AD9+AD12)/3</f>
        <v>-3.9233333333333333</v>
      </c>
    </row>
    <row r="12" spans="1:47" x14ac:dyDescent="0.25">
      <c r="A12" s="47"/>
      <c r="B12" s="63"/>
      <c r="C12" s="16">
        <v>0</v>
      </c>
      <c r="D12" s="16">
        <v>-2.5</v>
      </c>
      <c r="E12" s="16">
        <v>-4.4000000000000004</v>
      </c>
      <c r="F12" s="16">
        <v>-4.4000000000000004</v>
      </c>
      <c r="G12" s="16">
        <v>-2.7</v>
      </c>
      <c r="H12" s="17">
        <v>0</v>
      </c>
      <c r="I12" s="16">
        <v>0</v>
      </c>
      <c r="J12" s="16">
        <v>-2.5</v>
      </c>
      <c r="K12" s="16">
        <v>-4.4000000000000004</v>
      </c>
      <c r="L12" s="16">
        <v>-4.4000000000000004</v>
      </c>
      <c r="M12" s="16">
        <v>-2.7</v>
      </c>
      <c r="N12" s="17">
        <v>0</v>
      </c>
      <c r="O12" s="16">
        <v>0</v>
      </c>
      <c r="P12" s="16">
        <v>-2.5</v>
      </c>
      <c r="Q12" s="16">
        <v>-4.4000000000000004</v>
      </c>
      <c r="R12" s="16">
        <v>-4.4000000000000004</v>
      </c>
      <c r="S12" s="16">
        <v>-2.7</v>
      </c>
      <c r="T12" s="17">
        <v>0</v>
      </c>
      <c r="U12" s="16">
        <v>0</v>
      </c>
      <c r="V12" s="16">
        <v>-2.5</v>
      </c>
      <c r="W12" s="16">
        <v>-4.4000000000000004</v>
      </c>
      <c r="X12" s="16">
        <v>-4.4000000000000004</v>
      </c>
      <c r="Y12" s="16">
        <v>-2.7</v>
      </c>
      <c r="Z12" s="17">
        <v>0</v>
      </c>
      <c r="AA12" s="16">
        <v>0</v>
      </c>
      <c r="AB12" s="16">
        <v>-2.5</v>
      </c>
      <c r="AC12" s="16">
        <v>-4.4000000000000004</v>
      </c>
      <c r="AD12" s="16">
        <v>-4.4000000000000004</v>
      </c>
      <c r="AE12" s="16">
        <v>-2.7</v>
      </c>
      <c r="AF12" s="17">
        <v>0</v>
      </c>
    </row>
    <row r="13" spans="1:47" x14ac:dyDescent="0.25">
      <c r="A13" s="47"/>
      <c r="B13" s="63"/>
      <c r="C13" s="16">
        <v>0</v>
      </c>
      <c r="D13" s="131"/>
      <c r="E13" s="131"/>
      <c r="F13" s="131"/>
      <c r="G13" s="131"/>
      <c r="H13" s="29"/>
      <c r="I13" s="16">
        <v>0</v>
      </c>
      <c r="J13" s="194"/>
      <c r="K13" s="194"/>
      <c r="L13" s="194"/>
      <c r="M13" s="194"/>
      <c r="N13" s="29"/>
      <c r="O13" s="16">
        <v>0</v>
      </c>
      <c r="P13" s="131"/>
      <c r="Q13" s="131"/>
      <c r="R13" s="131"/>
      <c r="S13" s="131"/>
      <c r="T13" s="29"/>
      <c r="U13" s="16">
        <v>0</v>
      </c>
      <c r="V13" s="131"/>
      <c r="W13" s="131"/>
      <c r="X13" s="131"/>
      <c r="Y13" s="131"/>
      <c r="Z13" s="29"/>
      <c r="AA13" s="16">
        <v>0</v>
      </c>
      <c r="AB13" s="131"/>
      <c r="AC13" s="131"/>
      <c r="AD13" s="131"/>
      <c r="AE13" s="131"/>
      <c r="AF13" s="29"/>
    </row>
    <row r="14" spans="1:47" x14ac:dyDescent="0.25">
      <c r="A14" s="47"/>
      <c r="B14" s="63"/>
      <c r="C14">
        <f>(C5*D6)-(C6*D5)</f>
        <v>0</v>
      </c>
      <c r="D14">
        <f t="shared" ref="D14:AE14" si="2">(D5*E6)-(D6*E5)</f>
        <v>0</v>
      </c>
      <c r="E14">
        <f t="shared" si="2"/>
        <v>0</v>
      </c>
      <c r="F14">
        <f t="shared" si="2"/>
        <v>0</v>
      </c>
      <c r="G14">
        <f t="shared" si="2"/>
        <v>0</v>
      </c>
      <c r="H14">
        <f>(H5*C6)-(H6*C5)</f>
        <v>0</v>
      </c>
      <c r="I14">
        <f>(I5*J6)-(I6*J5)</f>
        <v>0</v>
      </c>
      <c r="J14">
        <f t="shared" ref="J14" si="3">(J5*K6)-(J6*K5)</f>
        <v>0</v>
      </c>
      <c r="K14">
        <f t="shared" ref="K14" si="4">(K5*L6)-(K6*L5)</f>
        <v>0</v>
      </c>
      <c r="L14">
        <f t="shared" ref="L14" si="5">(L5*M6)-(L6*M5)</f>
        <v>0</v>
      </c>
      <c r="M14">
        <f t="shared" ref="M14" si="6">(M5*N6)-(M6*N5)</f>
        <v>0</v>
      </c>
      <c r="N14">
        <f>(N5*I6)-(N6*I5)</f>
        <v>0</v>
      </c>
      <c r="O14">
        <f t="shared" si="2"/>
        <v>0</v>
      </c>
      <c r="P14">
        <f t="shared" si="2"/>
        <v>0</v>
      </c>
      <c r="Q14">
        <f t="shared" si="2"/>
        <v>0</v>
      </c>
      <c r="R14">
        <f t="shared" si="2"/>
        <v>0</v>
      </c>
      <c r="S14">
        <f t="shared" si="2"/>
        <v>0</v>
      </c>
      <c r="T14">
        <f>(T5*O6)-(T6*O5)</f>
        <v>0</v>
      </c>
      <c r="U14">
        <f t="shared" si="2"/>
        <v>0</v>
      </c>
      <c r="V14">
        <f t="shared" si="2"/>
        <v>0</v>
      </c>
      <c r="W14">
        <f t="shared" si="2"/>
        <v>0</v>
      </c>
      <c r="X14">
        <f t="shared" si="2"/>
        <v>0</v>
      </c>
      <c r="Y14">
        <f t="shared" si="2"/>
        <v>0</v>
      </c>
      <c r="Z14">
        <f>(Z5*U6)-(Z6*U5)</f>
        <v>0</v>
      </c>
      <c r="AA14">
        <f t="shared" si="2"/>
        <v>7.38</v>
      </c>
      <c r="AB14">
        <f t="shared" si="2"/>
        <v>7.5000000000000018</v>
      </c>
      <c r="AC14">
        <f t="shared" si="2"/>
        <v>14.8</v>
      </c>
      <c r="AD14">
        <f t="shared" si="2"/>
        <v>7.7000000000000011</v>
      </c>
      <c r="AE14">
        <f t="shared" si="2"/>
        <v>6.46</v>
      </c>
      <c r="AF14">
        <f>(AF5*AA6)-(AF6*AA5)</f>
        <v>0</v>
      </c>
      <c r="AG14">
        <f t="shared" ref="AG14:AH16" si="7">ABS(SUM(C14:H14))/2</f>
        <v>0</v>
      </c>
      <c r="AH14">
        <f t="shared" si="7"/>
        <v>0</v>
      </c>
      <c r="AI14">
        <f>ABS(SUM(O14:T14))/2</f>
        <v>0</v>
      </c>
      <c r="AJ14">
        <f>ABS(SUM(U14:Z14))/2</f>
        <v>0</v>
      </c>
      <c r="AK14">
        <f>ABS(SUM(AA14:AF14))/2</f>
        <v>21.92</v>
      </c>
    </row>
    <row r="15" spans="1:47" x14ac:dyDescent="0.25">
      <c r="A15" s="47"/>
      <c r="B15" s="63"/>
      <c r="C15">
        <f>(C8*D9)-(C9*D8)</f>
        <v>7.6</v>
      </c>
      <c r="D15">
        <f t="shared" ref="D15:AE15" si="8">(D8*E9)-(D9*E8)</f>
        <v>7.36</v>
      </c>
      <c r="E15">
        <f t="shared" si="8"/>
        <v>14.88</v>
      </c>
      <c r="F15">
        <f t="shared" si="8"/>
        <v>7.3879999999999999</v>
      </c>
      <c r="G15">
        <f t="shared" si="8"/>
        <v>7.14</v>
      </c>
      <c r="H15">
        <f>(H8*C9)-(H9*C8)</f>
        <v>0</v>
      </c>
      <c r="I15">
        <f>(I8*J9)-(I9*J8)</f>
        <v>7.6</v>
      </c>
      <c r="J15">
        <f t="shared" ref="J15" si="9">(J8*K9)-(J9*K8)</f>
        <v>7.36</v>
      </c>
      <c r="K15">
        <f t="shared" ref="K15" si="10">(K8*L9)-(K9*L8)</f>
        <v>14.88</v>
      </c>
      <c r="L15">
        <f t="shared" ref="L15" si="11">(L8*M9)-(L9*M8)</f>
        <v>7.3879999999999999</v>
      </c>
      <c r="M15">
        <f t="shared" ref="M15" si="12">(M8*N9)-(M9*N8)</f>
        <v>7.14</v>
      </c>
      <c r="N15">
        <f>(N8*I9)-(N9*I8)</f>
        <v>0</v>
      </c>
      <c r="O15">
        <f t="shared" si="8"/>
        <v>8.17</v>
      </c>
      <c r="P15">
        <f t="shared" si="8"/>
        <v>7.36</v>
      </c>
      <c r="Q15">
        <f t="shared" si="8"/>
        <v>14.88</v>
      </c>
      <c r="R15">
        <f t="shared" si="8"/>
        <v>7.76</v>
      </c>
      <c r="S15">
        <f t="shared" si="8"/>
        <v>7.14</v>
      </c>
      <c r="T15">
        <f>(T8*O9)-(T9*O8)</f>
        <v>0</v>
      </c>
      <c r="U15">
        <f t="shared" si="8"/>
        <v>8.17</v>
      </c>
      <c r="V15">
        <f t="shared" si="8"/>
        <v>7.36</v>
      </c>
      <c r="W15">
        <f t="shared" si="8"/>
        <v>14.88</v>
      </c>
      <c r="X15">
        <f t="shared" si="8"/>
        <v>7.76</v>
      </c>
      <c r="Y15">
        <f t="shared" si="8"/>
        <v>7.14</v>
      </c>
      <c r="Z15">
        <f>(Z8*U9)-(Z9*U8)</f>
        <v>0</v>
      </c>
      <c r="AA15">
        <f t="shared" si="8"/>
        <v>8.17</v>
      </c>
      <c r="AB15">
        <f t="shared" si="8"/>
        <v>7.21</v>
      </c>
      <c r="AC15">
        <f t="shared" si="8"/>
        <v>14.68</v>
      </c>
      <c r="AD15">
        <f t="shared" si="8"/>
        <v>7.6099999999999994</v>
      </c>
      <c r="AE15">
        <f t="shared" si="8"/>
        <v>7.14</v>
      </c>
      <c r="AF15">
        <f>(AF8*AA9)-(AF9*AA8)</f>
        <v>0</v>
      </c>
      <c r="AG15">
        <f t="shared" si="7"/>
        <v>22.184000000000001</v>
      </c>
      <c r="AH15">
        <f t="shared" si="7"/>
        <v>22.184000000000001</v>
      </c>
      <c r="AI15">
        <f>ABS(SUM(O15:T15))/2</f>
        <v>22.655000000000001</v>
      </c>
      <c r="AJ15">
        <f>ABS(SUM(U15:Z15))/2</f>
        <v>22.655000000000001</v>
      </c>
      <c r="AK15">
        <f>ABS(SUM(AA15:AF15))/2</f>
        <v>22.405000000000001</v>
      </c>
    </row>
    <row r="16" spans="1:47" x14ac:dyDescent="0.25">
      <c r="A16" s="47"/>
      <c r="B16" s="63"/>
      <c r="C16">
        <f>(C11*D12)-(C12*D11)</f>
        <v>15</v>
      </c>
      <c r="D16">
        <f>(D11*E12)-(D12*E11)</f>
        <v>8.6500000000000021</v>
      </c>
      <c r="E16">
        <f>(E11*F12)-(E12*F11)</f>
        <v>23.760000000000005</v>
      </c>
      <c r="F16">
        <f>(F11*G12)-(F12*G11)</f>
        <v>8.5500000000000007</v>
      </c>
      <c r="G16">
        <f>(G11*H12)-(G12*H11)</f>
        <v>15.12</v>
      </c>
      <c r="H16">
        <f>(H11*C12)-(H12*C11)</f>
        <v>0</v>
      </c>
      <c r="I16">
        <f>(I11*J12)-(I12*J11)</f>
        <v>15</v>
      </c>
      <c r="J16">
        <f>(J11*K12)-(J12*K11)</f>
        <v>8.6500000000000021</v>
      </c>
      <c r="K16">
        <f>(K11*L12)-(K12*L11)</f>
        <v>23.760000000000005</v>
      </c>
      <c r="L16">
        <f>(L11*M12)-(L12*M11)</f>
        <v>8.5500000000000007</v>
      </c>
      <c r="M16">
        <f>(M11*N12)-(M12*N11)</f>
        <v>15.12</v>
      </c>
      <c r="N16">
        <f>(N11*I12)-(N12*I11)</f>
        <v>0</v>
      </c>
      <c r="O16">
        <f>(O11*P12)-(O12*P11)</f>
        <v>15.75</v>
      </c>
      <c r="P16">
        <f>(P11*Q12)-(P12*Q11)</f>
        <v>8.6500000000000021</v>
      </c>
      <c r="Q16">
        <f>(Q11*R12)-(Q12*R11)</f>
        <v>23.760000000000005</v>
      </c>
      <c r="R16">
        <f>(R11*S12)-(R12*S11)</f>
        <v>8.5500000000000007</v>
      </c>
      <c r="S16">
        <f>(S11*T12)-(S12*T11)</f>
        <v>16.740000000000002</v>
      </c>
      <c r="T16">
        <f>(T11*O12)-(T12*O11)</f>
        <v>0</v>
      </c>
      <c r="U16">
        <f>(U11*V12)-(U12*V11)</f>
        <v>15.75</v>
      </c>
      <c r="V16">
        <f>(V11*W12)-(V12*W11)</f>
        <v>8.6500000000000021</v>
      </c>
      <c r="W16">
        <f>(W11*X12)-(W12*X11)</f>
        <v>23.760000000000005</v>
      </c>
      <c r="X16">
        <f>(X11*Y12)-(X12*Y11)</f>
        <v>8.5500000000000007</v>
      </c>
      <c r="Y16">
        <f>(Y11*Z12)-(Y12*Z11)</f>
        <v>16.740000000000002</v>
      </c>
      <c r="Z16">
        <f>(Z11*U12)-(Z12*U11)</f>
        <v>0</v>
      </c>
      <c r="AA16">
        <f>(AA11*AB12)-(AA12*AB11)</f>
        <v>15.75</v>
      </c>
      <c r="AB16">
        <f>(AB11*AC12)-(AB12*AC11)</f>
        <v>8.6500000000000021</v>
      </c>
      <c r="AC16">
        <f>(AC11*AD12)-(AC12*AD11)</f>
        <v>23.760000000000005</v>
      </c>
      <c r="AD16">
        <f>(AD11*AE12)-(AD12*AE11)</f>
        <v>8.5500000000000007</v>
      </c>
      <c r="AE16">
        <f>(AE11*AF12)-(AE12*AF11)</f>
        <v>16.740000000000002</v>
      </c>
      <c r="AF16">
        <f>(AF11*AA12)-(AF12*AA11)</f>
        <v>0</v>
      </c>
      <c r="AG16">
        <f t="shared" si="7"/>
        <v>35.540000000000006</v>
      </c>
      <c r="AH16">
        <f t="shared" si="7"/>
        <v>35.540000000000006</v>
      </c>
      <c r="AI16">
        <f>ABS(SUM(O16:T16))/2</f>
        <v>36.725000000000009</v>
      </c>
      <c r="AJ16">
        <f>ABS(SUM(U16:Z16))/2</f>
        <v>36.725000000000009</v>
      </c>
      <c r="AK16">
        <f>ABS(SUM(AA16:AF16))/2</f>
        <v>36.725000000000009</v>
      </c>
    </row>
    <row r="17" spans="1:29" x14ac:dyDescent="0.25">
      <c r="A17" s="47"/>
      <c r="B17" s="63"/>
    </row>
    <row r="18" spans="1:29" x14ac:dyDescent="0.25">
      <c r="A18" s="85"/>
      <c r="B18" s="47"/>
      <c r="C18" s="47">
        <f>D3</f>
        <v>41453</v>
      </c>
      <c r="D18" s="47">
        <f>Q3</f>
        <v>41491</v>
      </c>
      <c r="E18" s="47">
        <f>W3</f>
        <v>41499</v>
      </c>
      <c r="F18" s="47">
        <f>AC3</f>
        <v>41516</v>
      </c>
    </row>
    <row r="19" spans="1:29" x14ac:dyDescent="0.25">
      <c r="B19" t="s">
        <v>10</v>
      </c>
      <c r="C19">
        <f>H8-C8</f>
        <v>8.1999999999999993</v>
      </c>
      <c r="D19">
        <f>T8-O8</f>
        <v>8.5</v>
      </c>
      <c r="E19">
        <f>Z8-U8</f>
        <v>8.5</v>
      </c>
      <c r="F19">
        <f>AF8-AA8</f>
        <v>8.5</v>
      </c>
    </row>
    <row r="20" spans="1:29" x14ac:dyDescent="0.25">
      <c r="B20" t="s">
        <v>11</v>
      </c>
      <c r="C20">
        <f>E9</f>
        <v>-3.72</v>
      </c>
      <c r="D20">
        <f>Q9</f>
        <v>-3.72</v>
      </c>
      <c r="E20">
        <f>W9</f>
        <v>-3.72</v>
      </c>
      <c r="F20">
        <f>AC6</f>
        <v>-3.7</v>
      </c>
    </row>
    <row r="21" spans="1:29" x14ac:dyDescent="0.25">
      <c r="B21" t="s">
        <v>12</v>
      </c>
      <c r="C21">
        <v>1.6</v>
      </c>
      <c r="D21">
        <v>1.6</v>
      </c>
      <c r="E21">
        <v>1.6</v>
      </c>
      <c r="F21">
        <f>AA10+AA7</f>
        <v>2</v>
      </c>
    </row>
    <row r="27" spans="1:29" x14ac:dyDescent="0.25">
      <c r="AC27">
        <v>2.6</v>
      </c>
    </row>
  </sheetData>
  <mergeCells count="4">
    <mergeCell ref="AH2:AK2"/>
    <mergeCell ref="AL2:AO2"/>
    <mergeCell ref="A5:A7"/>
    <mergeCell ref="A8:A10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2"/>
  <sheetViews>
    <sheetView topLeftCell="P1" zoomScale="75" zoomScaleNormal="75" workbookViewId="0">
      <selection activeCell="AL5" sqref="AL5:AN7"/>
    </sheetView>
  </sheetViews>
  <sheetFormatPr defaultRowHeight="15" x14ac:dyDescent="0.25"/>
  <cols>
    <col min="2" max="2" width="12" bestFit="1" customWidth="1"/>
    <col min="3" max="3" width="10.85546875" bestFit="1" customWidth="1"/>
    <col min="4" max="4" width="9.28515625" bestFit="1" customWidth="1"/>
    <col min="5" max="6" width="10.85546875" bestFit="1" customWidth="1"/>
    <col min="7" max="10" width="9.28515625" bestFit="1" customWidth="1"/>
    <col min="11" max="11" width="9.7109375" bestFit="1" customWidth="1"/>
    <col min="12" max="16" width="9.28515625" bestFit="1" customWidth="1"/>
    <col min="17" max="17" width="9.7109375" bestFit="1" customWidth="1"/>
    <col min="18" max="21" width="9.28515625" bestFit="1" customWidth="1"/>
  </cols>
  <sheetData>
    <row r="1" spans="1:46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Y1" s="64"/>
      <c r="Z1" s="64">
        <f>(1.2*1.4)-((1.792*0^5)/5+(0.114*0^4)/4+(2.196*1.4^3)/3-(3.077*1.4^2)/2+(0.819*1.4))</f>
        <v>1.540252</v>
      </c>
      <c r="AA1" s="64"/>
      <c r="AB1" s="47">
        <v>41453</v>
      </c>
      <c r="AC1" s="102">
        <v>41478</v>
      </c>
      <c r="AD1" s="47">
        <v>41491</v>
      </c>
      <c r="AE1" s="47">
        <v>41495</v>
      </c>
      <c r="AF1" s="47">
        <v>41517</v>
      </c>
    </row>
    <row r="2" spans="1:46" ht="15.75" thickBot="1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  <c r="S2" s="2"/>
      <c r="T2" s="2"/>
      <c r="AB2" s="218" t="s">
        <v>36</v>
      </c>
      <c r="AC2" s="218"/>
      <c r="AD2" s="218"/>
      <c r="AE2" s="218"/>
      <c r="AF2" s="218"/>
      <c r="AG2" s="218" t="s">
        <v>42</v>
      </c>
      <c r="AH2" s="218"/>
      <c r="AI2" s="218"/>
      <c r="AJ2" s="218"/>
      <c r="AK2" s="218"/>
      <c r="AL2" s="205"/>
      <c r="AM2" s="205"/>
      <c r="AN2" s="205"/>
      <c r="AO2" s="3"/>
      <c r="AP2" s="3"/>
      <c r="AQ2" s="3"/>
      <c r="AR2" s="3"/>
      <c r="AS2" s="3"/>
      <c r="AT2" s="3"/>
    </row>
    <row r="3" spans="1:46" x14ac:dyDescent="0.25">
      <c r="C3" s="1"/>
      <c r="D3" s="2"/>
      <c r="E3" s="47">
        <v>41453</v>
      </c>
      <c r="F3" s="2"/>
      <c r="G3" s="2"/>
      <c r="I3" s="2"/>
      <c r="K3" s="47">
        <v>41491</v>
      </c>
      <c r="O3" s="2"/>
      <c r="Q3" s="47">
        <v>41499</v>
      </c>
      <c r="W3" s="47">
        <v>41516</v>
      </c>
      <c r="AB3" s="103">
        <v>41453</v>
      </c>
      <c r="AC3" s="104">
        <v>41478</v>
      </c>
      <c r="AD3" s="105">
        <v>41491</v>
      </c>
      <c r="AE3" s="105">
        <v>41495</v>
      </c>
      <c r="AF3" s="106">
        <v>41516</v>
      </c>
      <c r="AG3" s="103">
        <v>41453</v>
      </c>
      <c r="AH3" s="104">
        <v>41478</v>
      </c>
      <c r="AI3" s="105">
        <v>41491</v>
      </c>
      <c r="AJ3" s="105">
        <v>41495</v>
      </c>
      <c r="AK3" s="106" t="s">
        <v>2</v>
      </c>
      <c r="AL3" s="171"/>
      <c r="AM3" s="171"/>
      <c r="AN3" s="171"/>
      <c r="AO3" s="1"/>
      <c r="AP3" t="s">
        <v>50</v>
      </c>
      <c r="AQ3" t="s">
        <v>42</v>
      </c>
      <c r="AR3" t="s">
        <v>54</v>
      </c>
      <c r="AS3" t="s">
        <v>55</v>
      </c>
      <c r="AT3" t="s">
        <v>59</v>
      </c>
    </row>
    <row r="4" spans="1:46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/>
      <c r="AB4" s="70" t="s">
        <v>31</v>
      </c>
      <c r="AC4" s="71" t="s">
        <v>32</v>
      </c>
      <c r="AD4" s="71" t="s">
        <v>33</v>
      </c>
      <c r="AE4" s="71" t="s">
        <v>34</v>
      </c>
      <c r="AF4" s="72" t="s">
        <v>35</v>
      </c>
      <c r="AG4" s="70" t="s">
        <v>37</v>
      </c>
      <c r="AH4" s="71" t="s">
        <v>38</v>
      </c>
      <c r="AI4" s="71" t="s">
        <v>39</v>
      </c>
      <c r="AJ4" s="71" t="s">
        <v>40</v>
      </c>
      <c r="AK4" s="72" t="s">
        <v>41</v>
      </c>
      <c r="AL4" s="71"/>
      <c r="AM4" s="71" t="s">
        <v>10</v>
      </c>
      <c r="AN4" s="71" t="s">
        <v>12</v>
      </c>
      <c r="AO4" t="s">
        <v>9</v>
      </c>
      <c r="AP4">
        <v>0</v>
      </c>
      <c r="AR4">
        <v>-5.0999999999999996</v>
      </c>
      <c r="AS4">
        <v>11.5</v>
      </c>
    </row>
    <row r="5" spans="1:46" x14ac:dyDescent="0.25">
      <c r="A5" s="219" t="s">
        <v>14</v>
      </c>
      <c r="B5" s="5" t="s">
        <v>10</v>
      </c>
      <c r="C5" s="121"/>
      <c r="D5" s="122"/>
      <c r="E5" s="122"/>
      <c r="F5" s="122"/>
      <c r="G5" s="122"/>
      <c r="H5" s="123"/>
      <c r="I5" s="121"/>
      <c r="J5" s="122"/>
      <c r="K5" s="122"/>
      <c r="L5" s="122"/>
      <c r="M5" s="122"/>
      <c r="N5" s="123"/>
      <c r="O5" s="121"/>
      <c r="P5" s="122"/>
      <c r="Q5" s="122"/>
      <c r="R5" s="122"/>
      <c r="S5" s="122"/>
      <c r="T5" s="123"/>
      <c r="U5" s="10">
        <v>-1.5</v>
      </c>
      <c r="V5" s="10">
        <v>-1.5</v>
      </c>
      <c r="W5" s="10">
        <v>-1.5</v>
      </c>
      <c r="X5" s="10">
        <v>1.5</v>
      </c>
      <c r="Y5" s="10">
        <v>1.5</v>
      </c>
      <c r="Z5" s="11">
        <v>1.5</v>
      </c>
      <c r="AA5" s="16" t="s">
        <v>14</v>
      </c>
      <c r="AB5" s="73">
        <v>0</v>
      </c>
      <c r="AC5" s="74">
        <f t="shared" ref="AC5:AF7" si="0">AC15</f>
        <v>0</v>
      </c>
      <c r="AD5" s="74">
        <f t="shared" si="0"/>
        <v>0</v>
      </c>
      <c r="AE5" s="74">
        <f t="shared" si="0"/>
        <v>0</v>
      </c>
      <c r="AF5" s="74">
        <f t="shared" si="0"/>
        <v>6.8999999999999995</v>
      </c>
      <c r="AG5" s="78"/>
      <c r="AH5" s="49"/>
      <c r="AI5" s="49"/>
      <c r="AJ5" s="49"/>
      <c r="AK5" s="81"/>
      <c r="AL5" s="16" t="s">
        <v>14</v>
      </c>
      <c r="AM5" s="49">
        <f>Z5-U5</f>
        <v>3</v>
      </c>
      <c r="AN5" s="49">
        <f>U7</f>
        <v>0.7</v>
      </c>
      <c r="AO5" t="s">
        <v>13</v>
      </c>
      <c r="AP5">
        <v>2.4</v>
      </c>
      <c r="AQ5" s="100">
        <v>99.397579792000016</v>
      </c>
      <c r="AR5">
        <v>-5.0999999999999996</v>
      </c>
      <c r="AS5">
        <v>11.6</v>
      </c>
    </row>
    <row r="6" spans="1:46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4"/>
      <c r="J6" s="125"/>
      <c r="K6" s="125"/>
      <c r="L6" s="125"/>
      <c r="M6" s="125"/>
      <c r="N6" s="126"/>
      <c r="O6" s="124"/>
      <c r="P6" s="125"/>
      <c r="Q6" s="125"/>
      <c r="R6" s="125"/>
      <c r="S6" s="125"/>
      <c r="T6" s="126"/>
      <c r="U6" s="16">
        <v>0</v>
      </c>
      <c r="V6" s="16">
        <v>-2.2999999999999998</v>
      </c>
      <c r="W6" s="16">
        <v>-2.2999999999999998</v>
      </c>
      <c r="X6" s="16">
        <v>-2.2999999999999998</v>
      </c>
      <c r="Y6" s="16">
        <v>-2.2999999999999998</v>
      </c>
      <c r="Z6" s="17">
        <v>0</v>
      </c>
      <c r="AA6" s="16" t="s">
        <v>13</v>
      </c>
      <c r="AB6" s="73">
        <v>9.3389999999999986</v>
      </c>
      <c r="AC6" s="74">
        <f t="shared" si="0"/>
        <v>9.3389999999999986</v>
      </c>
      <c r="AD6" s="74">
        <f t="shared" si="0"/>
        <v>10.202999999999999</v>
      </c>
      <c r="AE6" s="74">
        <f t="shared" si="0"/>
        <v>10.212</v>
      </c>
      <c r="AF6" s="74">
        <f t="shared" si="0"/>
        <v>10.23</v>
      </c>
      <c r="AG6" s="73"/>
      <c r="AH6" s="82"/>
      <c r="AI6" s="82"/>
      <c r="AJ6" s="82"/>
      <c r="AK6" s="83">
        <f>(AF5+AF6)/2*$U$7</f>
        <v>5.9954999999999989</v>
      </c>
      <c r="AL6" s="16" t="s">
        <v>13</v>
      </c>
      <c r="AM6" s="82">
        <f>Z8-U8</f>
        <v>4.5999999999999996</v>
      </c>
      <c r="AN6" s="82">
        <f>U10</f>
        <v>3</v>
      </c>
      <c r="AO6" t="s">
        <v>14</v>
      </c>
      <c r="AP6">
        <v>4.9000000000000004</v>
      </c>
      <c r="AQ6" s="100">
        <v>97.639239366666658</v>
      </c>
      <c r="AR6">
        <v>-4.7</v>
      </c>
      <c r="AS6">
        <v>9</v>
      </c>
      <c r="AT6">
        <v>-2.0099999999999998</v>
      </c>
    </row>
    <row r="7" spans="1:46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7"/>
      <c r="J7" s="118"/>
      <c r="K7" s="118"/>
      <c r="L7" s="118"/>
      <c r="M7" s="118"/>
      <c r="N7" s="119"/>
      <c r="O7" s="117"/>
      <c r="P7" s="118"/>
      <c r="Q7" s="118"/>
      <c r="R7" s="118"/>
      <c r="S7" s="118"/>
      <c r="T7" s="119"/>
      <c r="U7" s="158">
        <v>0.7</v>
      </c>
      <c r="V7" s="25"/>
      <c r="W7" s="25"/>
      <c r="X7" s="25"/>
      <c r="Y7" s="25"/>
      <c r="Z7" s="26"/>
      <c r="AA7" s="16" t="s">
        <v>9</v>
      </c>
      <c r="AB7" s="73">
        <v>14.587999999999997</v>
      </c>
      <c r="AC7" s="74">
        <f t="shared" si="0"/>
        <v>14.587999999999997</v>
      </c>
      <c r="AD7" s="74">
        <f t="shared" si="0"/>
        <v>14.685999999999996</v>
      </c>
      <c r="AE7" s="74">
        <f t="shared" si="0"/>
        <v>14.685999999999996</v>
      </c>
      <c r="AF7" s="74">
        <f t="shared" si="0"/>
        <v>14.719999999999999</v>
      </c>
      <c r="AG7" s="73">
        <f>(AB6+AB7)/2*$U$10</f>
        <v>35.890499999999996</v>
      </c>
      <c r="AH7" s="73">
        <f>(AC6+AC7)/2*$U$10</f>
        <v>35.890499999999996</v>
      </c>
      <c r="AI7" s="73">
        <f>(AD6+AD7)/2*$U$10</f>
        <v>37.333499999999994</v>
      </c>
      <c r="AJ7" s="73">
        <f>(AE6+AE7)/2*$U$10</f>
        <v>37.346999999999994</v>
      </c>
      <c r="AK7" s="73">
        <f>(AF6+AF7)/2*$U$10</f>
        <v>37.424999999999997</v>
      </c>
      <c r="AL7" s="16" t="s">
        <v>9</v>
      </c>
      <c r="AM7" s="82">
        <f>Z11-U11</f>
        <v>6.4</v>
      </c>
      <c r="AN7" s="82"/>
      <c r="AO7" t="s">
        <v>15</v>
      </c>
      <c r="AP7">
        <v>7.4</v>
      </c>
      <c r="AQ7" s="100">
        <v>100.22718749999999</v>
      </c>
      <c r="AR7">
        <v>-4.7</v>
      </c>
      <c r="AS7">
        <v>12</v>
      </c>
      <c r="AT7">
        <v>-2.42</v>
      </c>
    </row>
    <row r="8" spans="1:46" x14ac:dyDescent="0.25">
      <c r="A8" s="219" t="s">
        <v>13</v>
      </c>
      <c r="B8" s="12" t="s">
        <v>10</v>
      </c>
      <c r="C8" s="31">
        <v>-1.8299999999999996</v>
      </c>
      <c r="D8" s="31">
        <v>-1.8</v>
      </c>
      <c r="E8" s="31">
        <v>-0.9</v>
      </c>
      <c r="F8" s="31">
        <v>0.9</v>
      </c>
      <c r="G8" s="31">
        <v>2.1</v>
      </c>
      <c r="H8" s="32">
        <v>2.2999999999999998</v>
      </c>
      <c r="I8" s="31">
        <v>-2.2699999999999996</v>
      </c>
      <c r="J8" s="31">
        <v>-2.1</v>
      </c>
      <c r="K8" s="132">
        <v>-0.9</v>
      </c>
      <c r="L8" s="31">
        <v>0.9</v>
      </c>
      <c r="M8" s="31">
        <v>2.1</v>
      </c>
      <c r="N8" s="32">
        <v>2.2999999999999998</v>
      </c>
      <c r="O8" s="31">
        <v>-2.2799999999999998</v>
      </c>
      <c r="P8" s="31">
        <v>-2.1</v>
      </c>
      <c r="Q8" s="132">
        <v>-0.9</v>
      </c>
      <c r="R8" s="31">
        <v>0.9</v>
      </c>
      <c r="S8" s="31">
        <v>2.1</v>
      </c>
      <c r="T8" s="32">
        <v>2.2999999999999998</v>
      </c>
      <c r="U8" s="16">
        <v>-2.2999999999999998</v>
      </c>
      <c r="V8" s="111">
        <v>-2.1</v>
      </c>
      <c r="W8" s="111">
        <v>-0.9</v>
      </c>
      <c r="X8" s="111">
        <v>0.9</v>
      </c>
      <c r="Y8" s="111">
        <v>2.1</v>
      </c>
      <c r="Z8" s="29">
        <v>2.2999999999999998</v>
      </c>
      <c r="AA8" s="16"/>
      <c r="AB8" s="76">
        <f>SUM(AB5:AB7)</f>
        <v>23.926999999999996</v>
      </c>
      <c r="AC8" s="76">
        <f>SUM(AC5:AC7)</f>
        <v>23.926999999999996</v>
      </c>
      <c r="AD8" s="76">
        <f>SUM(AD5:AD7)</f>
        <v>24.888999999999996</v>
      </c>
      <c r="AE8" s="76">
        <f>SUM(AE5:AE7)</f>
        <v>24.897999999999996</v>
      </c>
      <c r="AF8" s="76">
        <f>SUM(AF5:AF7)</f>
        <v>31.849999999999998</v>
      </c>
      <c r="AG8" s="73">
        <f>AG6+AG7</f>
        <v>35.890499999999996</v>
      </c>
      <c r="AH8" s="73">
        <f>AH6+AH7</f>
        <v>35.890499999999996</v>
      </c>
      <c r="AI8" s="73">
        <f>AI6+AI7</f>
        <v>37.333499999999994</v>
      </c>
      <c r="AJ8" s="73">
        <f>AJ6+AJ7</f>
        <v>37.346999999999994</v>
      </c>
      <c r="AK8" s="73">
        <f>AK6+AK7</f>
        <v>43.420499999999997</v>
      </c>
      <c r="AL8" s="82"/>
      <c r="AM8" s="82"/>
      <c r="AN8" s="82"/>
      <c r="AO8">
        <v>43.589999999999996</v>
      </c>
      <c r="AQ8" s="100"/>
    </row>
    <row r="9" spans="1:46" x14ac:dyDescent="0.25">
      <c r="A9" s="220"/>
      <c r="B9" s="12" t="s">
        <v>11</v>
      </c>
      <c r="C9" s="16">
        <v>0</v>
      </c>
      <c r="D9" s="131">
        <v>-1.6</v>
      </c>
      <c r="E9" s="131">
        <v>-2.5</v>
      </c>
      <c r="F9" s="131">
        <v>-2.5</v>
      </c>
      <c r="G9" s="131">
        <v>-2.1</v>
      </c>
      <c r="H9" s="29">
        <v>0</v>
      </c>
      <c r="I9" s="16">
        <v>0</v>
      </c>
      <c r="J9" s="131">
        <v>-1.8</v>
      </c>
      <c r="K9" s="131">
        <v>-2.5</v>
      </c>
      <c r="L9" s="131">
        <v>-2.5</v>
      </c>
      <c r="M9" s="131">
        <v>-2.1</v>
      </c>
      <c r="N9" s="29">
        <v>0</v>
      </c>
      <c r="O9" s="16">
        <v>0</v>
      </c>
      <c r="P9" s="131">
        <v>-1.8</v>
      </c>
      <c r="Q9" s="131">
        <v>-2.5</v>
      </c>
      <c r="R9" s="131">
        <v>-2.5</v>
      </c>
      <c r="S9" s="131">
        <v>-2.1</v>
      </c>
      <c r="T9" s="29">
        <v>0</v>
      </c>
      <c r="U9" s="16">
        <v>0</v>
      </c>
      <c r="V9" s="111">
        <v>-1.8</v>
      </c>
      <c r="W9" s="111">
        <v>-2.5</v>
      </c>
      <c r="X9" s="111">
        <v>-2.5</v>
      </c>
      <c r="Y9" s="111">
        <v>-2.1</v>
      </c>
      <c r="Z9" s="29">
        <v>0</v>
      </c>
      <c r="AA9" s="16"/>
      <c r="AB9" s="133"/>
      <c r="AC9" s="134"/>
      <c r="AD9" s="135"/>
      <c r="AE9" s="134"/>
      <c r="AF9" s="136"/>
      <c r="AG9" s="73"/>
      <c r="AH9" s="82"/>
      <c r="AI9" s="82"/>
      <c r="AJ9" s="82"/>
      <c r="AK9" s="83">
        <f>AK8-AG8</f>
        <v>7.5300000000000011</v>
      </c>
      <c r="AL9" s="82"/>
      <c r="AM9" s="82"/>
      <c r="AN9" s="82"/>
      <c r="AO9">
        <v>7.5899999999999963</v>
      </c>
      <c r="AQ9" s="100"/>
    </row>
    <row r="10" spans="1:46" ht="15.75" thickBot="1" x14ac:dyDescent="0.3">
      <c r="A10" s="221"/>
      <c r="B10" s="12" t="s">
        <v>12</v>
      </c>
      <c r="C10" s="31"/>
      <c r="D10" s="31"/>
      <c r="E10" s="31"/>
      <c r="F10" s="31"/>
      <c r="G10" s="31"/>
      <c r="H10" s="32"/>
      <c r="I10" s="30"/>
      <c r="J10" s="31"/>
      <c r="K10" s="31"/>
      <c r="L10" s="31"/>
      <c r="M10" s="31"/>
      <c r="N10" s="32"/>
      <c r="O10" s="30"/>
      <c r="P10" s="31"/>
      <c r="Q10" s="31"/>
      <c r="R10" s="31"/>
      <c r="S10" s="31"/>
      <c r="T10" s="32"/>
      <c r="U10" s="16">
        <v>3</v>
      </c>
      <c r="V10" s="111"/>
      <c r="W10" s="111"/>
      <c r="X10" s="111"/>
      <c r="Y10" s="111"/>
      <c r="Z10" s="29"/>
      <c r="AA10" s="16"/>
      <c r="AB10" s="55"/>
      <c r="AC10" s="134"/>
      <c r="AD10" s="134"/>
      <c r="AE10" s="134"/>
      <c r="AF10" s="136">
        <f>AF8-AB8</f>
        <v>7.9230000000000018</v>
      </c>
      <c r="AG10" s="54"/>
      <c r="AH10" s="82"/>
      <c r="AI10" s="82"/>
      <c r="AJ10" s="82"/>
      <c r="AK10" s="83"/>
      <c r="AL10" s="82"/>
      <c r="AM10" s="82"/>
      <c r="AN10" s="82"/>
      <c r="AQ10" s="100"/>
    </row>
    <row r="11" spans="1:46" x14ac:dyDescent="0.25">
      <c r="A11" s="219" t="s">
        <v>9</v>
      </c>
      <c r="B11" s="5" t="s">
        <v>10</v>
      </c>
      <c r="C11" s="36">
        <v>-3.0500000000000007</v>
      </c>
      <c r="D11" s="36">
        <v>-3</v>
      </c>
      <c r="E11" s="36">
        <v>-1</v>
      </c>
      <c r="F11" s="36">
        <v>1</v>
      </c>
      <c r="G11" s="36">
        <v>3</v>
      </c>
      <c r="H11" s="9">
        <v>3.17</v>
      </c>
      <c r="I11" s="36">
        <v>-3.1900000000000004</v>
      </c>
      <c r="J11" s="36">
        <v>-3</v>
      </c>
      <c r="K11" s="36">
        <v>-1</v>
      </c>
      <c r="L11" s="36">
        <v>1</v>
      </c>
      <c r="M11" s="36">
        <v>3</v>
      </c>
      <c r="N11" s="9">
        <v>3.17</v>
      </c>
      <c r="O11" s="36">
        <v>-3.1900000000000004</v>
      </c>
      <c r="P11" s="36">
        <v>-3</v>
      </c>
      <c r="Q11" s="36">
        <v>-1</v>
      </c>
      <c r="R11" s="36">
        <v>1</v>
      </c>
      <c r="S11" s="36">
        <v>3</v>
      </c>
      <c r="T11" s="9">
        <v>3.17</v>
      </c>
      <c r="U11" s="10">
        <v>-3.2</v>
      </c>
      <c r="V11" s="34">
        <v>-3</v>
      </c>
      <c r="W11" s="34">
        <v>-1</v>
      </c>
      <c r="X11" s="34">
        <v>1</v>
      </c>
      <c r="Y11" s="34">
        <v>3</v>
      </c>
      <c r="Z11" s="8">
        <v>3.2</v>
      </c>
      <c r="AA11" s="16"/>
      <c r="AB11" s="55"/>
      <c r="AC11" s="1"/>
      <c r="AD11" s="134"/>
      <c r="AE11" s="134"/>
      <c r="AF11" s="136"/>
      <c r="AG11" s="54"/>
      <c r="AH11" s="3"/>
      <c r="AI11" s="82"/>
      <c r="AJ11" s="82"/>
      <c r="AK11" s="83"/>
      <c r="AL11" s="82"/>
      <c r="AM11" s="82"/>
      <c r="AN11" s="82"/>
      <c r="AQ11" s="100"/>
    </row>
    <row r="12" spans="1:46" x14ac:dyDescent="0.25">
      <c r="A12" s="220"/>
      <c r="B12" s="12" t="s">
        <v>11</v>
      </c>
      <c r="C12" s="16">
        <v>0</v>
      </c>
      <c r="D12" s="131">
        <v>-1.4</v>
      </c>
      <c r="E12" s="131">
        <v>-2.8</v>
      </c>
      <c r="F12" s="131">
        <v>-2.8</v>
      </c>
      <c r="G12" s="131">
        <v>-1.8</v>
      </c>
      <c r="H12" s="29">
        <v>0</v>
      </c>
      <c r="I12" s="16">
        <v>0</v>
      </c>
      <c r="J12" s="131">
        <v>-1.4</v>
      </c>
      <c r="K12" s="131">
        <v>-2.8</v>
      </c>
      <c r="L12" s="131">
        <v>-2.8</v>
      </c>
      <c r="M12" s="131">
        <v>-1.8</v>
      </c>
      <c r="N12" s="29">
        <v>0</v>
      </c>
      <c r="O12" s="16">
        <v>0</v>
      </c>
      <c r="P12" s="131">
        <v>-1.4</v>
      </c>
      <c r="Q12" s="131">
        <v>-2.8</v>
      </c>
      <c r="R12" s="131">
        <v>-2.8</v>
      </c>
      <c r="S12" s="131">
        <v>-1.8</v>
      </c>
      <c r="T12" s="29">
        <v>0</v>
      </c>
      <c r="U12" s="16">
        <v>0</v>
      </c>
      <c r="V12" s="111">
        <v>-1.4</v>
      </c>
      <c r="W12" s="111">
        <v>-2.8</v>
      </c>
      <c r="X12" s="111">
        <v>-2.8</v>
      </c>
      <c r="Y12" s="111">
        <v>-1.8</v>
      </c>
      <c r="Z12" s="29">
        <v>0</v>
      </c>
      <c r="AA12" s="16"/>
      <c r="AB12" t="s">
        <v>79</v>
      </c>
      <c r="AD12">
        <f>(X6+X9+X12)/3</f>
        <v>-2.5333333333333332</v>
      </c>
      <c r="AE12" s="1"/>
      <c r="AF12" s="136"/>
      <c r="AG12" s="54"/>
      <c r="AH12" s="3"/>
      <c r="AI12" s="3"/>
      <c r="AJ12" s="82"/>
      <c r="AK12" s="83"/>
      <c r="AL12" s="82"/>
      <c r="AM12" s="82"/>
      <c r="AN12" s="82"/>
      <c r="AQ12" s="100"/>
    </row>
    <row r="13" spans="1:46" ht="15.75" thickBot="1" x14ac:dyDescent="0.3">
      <c r="A13" s="221"/>
      <c r="B13" s="18" t="s">
        <v>12</v>
      </c>
      <c r="C13" s="22"/>
      <c r="D13" s="23"/>
      <c r="E13" s="23"/>
      <c r="F13" s="23"/>
      <c r="G13" s="23"/>
      <c r="H13" s="24"/>
      <c r="I13" s="22"/>
      <c r="J13" s="23"/>
      <c r="K13" s="23"/>
      <c r="L13" s="23"/>
      <c r="M13" s="23"/>
      <c r="N13" s="24"/>
      <c r="O13" s="22"/>
      <c r="P13" s="23"/>
      <c r="Q13" s="23"/>
      <c r="R13" s="23"/>
      <c r="S13" s="23"/>
      <c r="T13" s="24"/>
      <c r="U13" s="25">
        <v>0</v>
      </c>
      <c r="V13" s="20"/>
      <c r="W13" s="20"/>
      <c r="X13" s="20"/>
      <c r="Y13" s="20"/>
      <c r="Z13" s="21"/>
      <c r="AA13" s="16"/>
      <c r="AB13" s="60"/>
      <c r="AC13" s="137"/>
      <c r="AD13" s="137"/>
      <c r="AE13" s="137"/>
      <c r="AF13" s="138"/>
      <c r="AG13" s="57"/>
      <c r="AH13" s="58"/>
      <c r="AI13" s="58"/>
      <c r="AJ13" s="58"/>
      <c r="AK13" s="84"/>
      <c r="AL13" s="82"/>
      <c r="AM13" s="82"/>
      <c r="AN13" s="82"/>
    </row>
    <row r="15" spans="1:46" x14ac:dyDescent="0.25">
      <c r="A15" s="47"/>
      <c r="B15" s="63"/>
      <c r="C15">
        <f>(C5*D6)-(C6*D5)</f>
        <v>0</v>
      </c>
      <c r="D15">
        <f t="shared" ref="D15:Y15" si="1">(D5*E6)-(D6*E5)</f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>(H5*C6)-(H6*C5)</f>
        <v>0</v>
      </c>
      <c r="I15">
        <f t="shared" si="1"/>
        <v>0</v>
      </c>
      <c r="J15">
        <f t="shared" si="1"/>
        <v>0</v>
      </c>
      <c r="K15">
        <f t="shared" si="1"/>
        <v>0</v>
      </c>
      <c r="L15">
        <f t="shared" si="1"/>
        <v>0</v>
      </c>
      <c r="M15">
        <f t="shared" si="1"/>
        <v>0</v>
      </c>
      <c r="N15">
        <f>(N5*I6)-(N6*I5)</f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>(T5*O6)-(T6*O5)</f>
        <v>0</v>
      </c>
      <c r="U15">
        <f t="shared" si="1"/>
        <v>3.4499999999999997</v>
      </c>
      <c r="V15">
        <f t="shared" si="1"/>
        <v>0</v>
      </c>
      <c r="W15">
        <f t="shared" si="1"/>
        <v>6.8999999999999995</v>
      </c>
      <c r="X15">
        <f t="shared" si="1"/>
        <v>0</v>
      </c>
      <c r="Y15">
        <f t="shared" si="1"/>
        <v>3.4499999999999997</v>
      </c>
      <c r="Z15">
        <f>(Z5*U6)-(Z6*U5)</f>
        <v>0</v>
      </c>
      <c r="AC15" s="162">
        <f>ABS(SUM(C15:H15))/2</f>
        <v>0</v>
      </c>
      <c r="AD15" s="162">
        <f>ABS(SUM(I15:N15))/2</f>
        <v>0</v>
      </c>
      <c r="AE15" s="162">
        <f>ABS(SUM(O15:T15))/2</f>
        <v>0</v>
      </c>
      <c r="AF15" s="168">
        <f>ABS(SUM(U15:Z15))/2</f>
        <v>6.8999999999999995</v>
      </c>
      <c r="AK15" s="168"/>
      <c r="AL15" s="168"/>
      <c r="AM15" s="168"/>
      <c r="AN15" s="168"/>
    </row>
    <row r="16" spans="1:46" ht="14.25" customHeight="1" x14ac:dyDescent="0.25">
      <c r="A16" s="47"/>
      <c r="B16" s="63"/>
      <c r="C16">
        <f>(C8*D9)-(C9*D8)</f>
        <v>2.9279999999999995</v>
      </c>
      <c r="D16">
        <f t="shared" ref="D16:Y16" si="2">(D8*E9)-(D9*E8)</f>
        <v>3.0599999999999996</v>
      </c>
      <c r="E16">
        <f t="shared" si="2"/>
        <v>4.5</v>
      </c>
      <c r="F16">
        <f t="shared" si="2"/>
        <v>3.36</v>
      </c>
      <c r="G16">
        <f t="shared" si="2"/>
        <v>4.83</v>
      </c>
      <c r="H16">
        <f>(H8*C9)-(H9*C8)</f>
        <v>0</v>
      </c>
      <c r="I16">
        <f t="shared" si="2"/>
        <v>4.0859999999999994</v>
      </c>
      <c r="J16">
        <f t="shared" si="2"/>
        <v>3.63</v>
      </c>
      <c r="K16">
        <f t="shared" si="2"/>
        <v>4.5</v>
      </c>
      <c r="L16">
        <f t="shared" si="2"/>
        <v>3.36</v>
      </c>
      <c r="M16">
        <f t="shared" si="2"/>
        <v>4.83</v>
      </c>
      <c r="N16">
        <f>(N8*I9)-(N9*I8)</f>
        <v>0</v>
      </c>
      <c r="O16">
        <f t="shared" si="2"/>
        <v>4.1040000000000001</v>
      </c>
      <c r="P16">
        <f t="shared" si="2"/>
        <v>3.63</v>
      </c>
      <c r="Q16">
        <f t="shared" si="2"/>
        <v>4.5</v>
      </c>
      <c r="R16">
        <f t="shared" si="2"/>
        <v>3.36</v>
      </c>
      <c r="S16">
        <f t="shared" si="2"/>
        <v>4.83</v>
      </c>
      <c r="T16">
        <f>(T8*O9)-(T9*O8)</f>
        <v>0</v>
      </c>
      <c r="U16">
        <f t="shared" si="2"/>
        <v>4.1399999999999997</v>
      </c>
      <c r="V16">
        <f t="shared" si="2"/>
        <v>3.63</v>
      </c>
      <c r="W16">
        <f t="shared" si="2"/>
        <v>4.5</v>
      </c>
      <c r="X16">
        <f t="shared" si="2"/>
        <v>3.36</v>
      </c>
      <c r="Y16">
        <f t="shared" si="2"/>
        <v>4.83</v>
      </c>
      <c r="Z16">
        <f>(Z8*U9)-(Z9*U8)</f>
        <v>0</v>
      </c>
      <c r="AC16" s="162">
        <f>ABS(SUM(C16:H16))/2</f>
        <v>9.3389999999999986</v>
      </c>
      <c r="AD16" s="162">
        <f>ABS(SUM(I16:N16))/2</f>
        <v>10.202999999999999</v>
      </c>
      <c r="AE16" s="162">
        <f>ABS(SUM(O16:T16))/2</f>
        <v>10.212</v>
      </c>
      <c r="AF16" s="168">
        <f>ABS(SUM(U16:Z16))/2</f>
        <v>10.23</v>
      </c>
      <c r="AK16" s="168"/>
      <c r="AL16" s="168"/>
      <c r="AM16" s="168"/>
      <c r="AN16" s="168"/>
    </row>
    <row r="17" spans="1:40" x14ac:dyDescent="0.25">
      <c r="A17" s="47"/>
      <c r="B17" s="63"/>
      <c r="C17">
        <f>(C11*D12)-(C12*D11)</f>
        <v>4.2700000000000005</v>
      </c>
      <c r="D17">
        <f t="shared" ref="D17:Y17" si="3">(D11*E12)-(D12*E11)</f>
        <v>6.9999999999999982</v>
      </c>
      <c r="E17">
        <f t="shared" si="3"/>
        <v>5.6</v>
      </c>
      <c r="F17">
        <f t="shared" si="3"/>
        <v>6.5999999999999988</v>
      </c>
      <c r="G17">
        <f t="shared" si="3"/>
        <v>5.7060000000000004</v>
      </c>
      <c r="H17">
        <f>(H11*C12)-(H12*C11)</f>
        <v>0</v>
      </c>
      <c r="I17">
        <f t="shared" si="3"/>
        <v>4.4660000000000002</v>
      </c>
      <c r="J17">
        <f t="shared" si="3"/>
        <v>6.9999999999999982</v>
      </c>
      <c r="K17">
        <f t="shared" si="3"/>
        <v>5.6</v>
      </c>
      <c r="L17">
        <f t="shared" si="3"/>
        <v>6.5999999999999988</v>
      </c>
      <c r="M17">
        <f t="shared" si="3"/>
        <v>5.7060000000000004</v>
      </c>
      <c r="N17">
        <f>(N11*I12)-(N12*I11)</f>
        <v>0</v>
      </c>
      <c r="O17">
        <f t="shared" si="3"/>
        <v>4.4660000000000002</v>
      </c>
      <c r="P17">
        <f t="shared" si="3"/>
        <v>6.9999999999999982</v>
      </c>
      <c r="Q17">
        <f t="shared" si="3"/>
        <v>5.6</v>
      </c>
      <c r="R17">
        <f t="shared" si="3"/>
        <v>6.5999999999999988</v>
      </c>
      <c r="S17">
        <f t="shared" si="3"/>
        <v>5.7060000000000004</v>
      </c>
      <c r="T17">
        <f>(T11*O12)-(T12*O11)</f>
        <v>0</v>
      </c>
      <c r="U17">
        <f t="shared" si="3"/>
        <v>4.4799999999999995</v>
      </c>
      <c r="V17">
        <f t="shared" si="3"/>
        <v>6.9999999999999982</v>
      </c>
      <c r="W17">
        <f t="shared" si="3"/>
        <v>5.6</v>
      </c>
      <c r="X17">
        <f t="shared" si="3"/>
        <v>6.5999999999999988</v>
      </c>
      <c r="Y17">
        <f t="shared" si="3"/>
        <v>5.7600000000000007</v>
      </c>
      <c r="Z17">
        <f>(Z11*U12)-(Z12*U11)</f>
        <v>0</v>
      </c>
      <c r="AC17" s="162">
        <f>ABS(SUM(C17:H17))/2</f>
        <v>14.587999999999997</v>
      </c>
      <c r="AD17" s="162">
        <f>ABS(SUM(I17:N17))/2</f>
        <v>14.685999999999996</v>
      </c>
      <c r="AE17" s="162">
        <f>ABS(SUM(O17:T17))/2</f>
        <v>14.685999999999996</v>
      </c>
      <c r="AF17" s="168">
        <f>ABS(SUM(U17:Z17))/2</f>
        <v>14.719999999999999</v>
      </c>
      <c r="AK17" s="168"/>
      <c r="AL17" s="168"/>
      <c r="AM17" s="168"/>
      <c r="AN17" s="168"/>
    </row>
    <row r="19" spans="1:40" x14ac:dyDescent="0.25">
      <c r="A19" s="85"/>
      <c r="B19" s="47"/>
      <c r="C19" s="47">
        <f>E3</f>
        <v>41453</v>
      </c>
      <c r="D19" s="47">
        <f>K3</f>
        <v>41491</v>
      </c>
      <c r="E19" s="47">
        <f>Q3</f>
        <v>41499</v>
      </c>
      <c r="F19" s="47">
        <f>W3</f>
        <v>41516</v>
      </c>
    </row>
    <row r="20" spans="1:40" x14ac:dyDescent="0.25">
      <c r="A20" t="s">
        <v>9</v>
      </c>
      <c r="B20" t="s">
        <v>10</v>
      </c>
      <c r="C20">
        <f>H8-C8</f>
        <v>4.129999999999999</v>
      </c>
      <c r="D20">
        <f>N8-I8</f>
        <v>4.5699999999999994</v>
      </c>
      <c r="E20">
        <f>T8-O8</f>
        <v>4.58</v>
      </c>
      <c r="F20">
        <f>Z8-U8</f>
        <v>4.5999999999999996</v>
      </c>
    </row>
    <row r="21" spans="1:40" x14ac:dyDescent="0.25">
      <c r="B21" t="s">
        <v>11</v>
      </c>
      <c r="C21">
        <f>F9</f>
        <v>-2.5</v>
      </c>
      <c r="D21">
        <f>L9</f>
        <v>-2.5</v>
      </c>
      <c r="E21">
        <f>R9</f>
        <v>-2.5</v>
      </c>
      <c r="F21">
        <f>W9</f>
        <v>-2.5</v>
      </c>
    </row>
    <row r="22" spans="1:40" x14ac:dyDescent="0.25">
      <c r="B22" t="s">
        <v>12</v>
      </c>
      <c r="C22">
        <f>U10</f>
        <v>3</v>
      </c>
      <c r="D22">
        <f>U10</f>
        <v>3</v>
      </c>
      <c r="E22">
        <f>U10</f>
        <v>3</v>
      </c>
      <c r="F22">
        <f>U10+U7</f>
        <v>3.7</v>
      </c>
    </row>
  </sheetData>
  <mergeCells count="5">
    <mergeCell ref="AB2:AF2"/>
    <mergeCell ref="AG2:AK2"/>
    <mergeCell ref="A5:A7"/>
    <mergeCell ref="A8:A10"/>
    <mergeCell ref="A11:A13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"/>
  <sheetViews>
    <sheetView topLeftCell="AD1" zoomScale="75" zoomScaleNormal="75" workbookViewId="0">
      <selection activeCell="AZ3" sqref="AZ3:BB6"/>
    </sheetView>
  </sheetViews>
  <sheetFormatPr defaultRowHeight="15" x14ac:dyDescent="0.25"/>
  <cols>
    <col min="2" max="2" width="12" style="85" bestFit="1" customWidth="1"/>
    <col min="3" max="3" width="12" bestFit="1" customWidth="1"/>
    <col min="4" max="7" width="10.85546875" bestFit="1" customWidth="1"/>
    <col min="10" max="10" width="9.7109375" bestFit="1" customWidth="1"/>
    <col min="11" max="11" width="10.85546875" bestFit="1" customWidth="1"/>
    <col min="17" max="17" width="9.7109375" bestFit="1" customWidth="1"/>
    <col min="24" max="24" width="9.7109375" bestFit="1" customWidth="1"/>
    <col min="28" max="28" width="9.28515625" bestFit="1" customWidth="1"/>
    <col min="29" max="29" width="10.85546875" bestFit="1" customWidth="1"/>
    <col min="30" max="33" width="9.28515625" bestFit="1" customWidth="1"/>
    <col min="35" max="35" width="10.85546875" style="2" bestFit="1" customWidth="1"/>
    <col min="36" max="40" width="9.7109375" style="2" bestFit="1" customWidth="1"/>
    <col min="41" max="41" width="10.85546875" bestFit="1" customWidth="1"/>
    <col min="42" max="43" width="10.7109375" customWidth="1"/>
    <col min="44" max="44" width="10.42578125" customWidth="1"/>
    <col min="45" max="45" width="10.85546875" customWidth="1"/>
    <col min="46" max="46" width="11.85546875" customWidth="1"/>
    <col min="47" max="47" width="11.42578125" customWidth="1"/>
    <col min="48" max="48" width="11.5703125" customWidth="1"/>
    <col min="49" max="49" width="9.7109375" bestFit="1" customWidth="1"/>
    <col min="50" max="50" width="10.85546875" bestFit="1" customWidth="1"/>
  </cols>
  <sheetData>
    <row r="1" spans="1:57" x14ac:dyDescent="0.25">
      <c r="B1"/>
      <c r="F1" s="47">
        <v>41453</v>
      </c>
      <c r="I1" s="1"/>
      <c r="J1" s="2"/>
      <c r="K1" s="102">
        <v>41478</v>
      </c>
      <c r="L1" s="2"/>
      <c r="M1" s="2"/>
      <c r="O1" s="2"/>
      <c r="Q1" s="47">
        <v>41491</v>
      </c>
      <c r="U1" s="2"/>
      <c r="V1" s="2"/>
      <c r="W1" s="2"/>
      <c r="X1" s="47">
        <v>41499</v>
      </c>
      <c r="Y1" s="2"/>
      <c r="Z1" s="2"/>
      <c r="AA1" s="2"/>
      <c r="AC1" s="47">
        <v>41516</v>
      </c>
      <c r="AG1" s="74">
        <f>(0)-(((-0.0234*3.5^4)/4+(0.5688*3.5^3)/3+(0.0759*3.5^2)/2-(6.8989*3.5))-((-0.0234*-3.2^4)/4+(0.5688*-3.2^3)/3+(0.0759*-3.2^2)/2-(6.8989*-3.2)))</f>
        <v>32.068886365000004</v>
      </c>
      <c r="AH1" s="77"/>
      <c r="AO1" s="103">
        <v>41453</v>
      </c>
      <c r="AP1" s="104">
        <v>41478</v>
      </c>
      <c r="AQ1" s="105">
        <v>41491</v>
      </c>
      <c r="AR1" s="47">
        <v>41495</v>
      </c>
      <c r="AS1" s="106">
        <v>41516</v>
      </c>
      <c r="AT1" s="103">
        <v>41453</v>
      </c>
      <c r="AU1" s="104">
        <v>41478</v>
      </c>
      <c r="AV1" s="105">
        <v>41491</v>
      </c>
      <c r="AW1" s="47">
        <v>41495</v>
      </c>
      <c r="AX1" s="106">
        <v>41516</v>
      </c>
      <c r="AY1" s="1" t="s">
        <v>66</v>
      </c>
    </row>
    <row r="2" spans="1:57" x14ac:dyDescent="0.25">
      <c r="D2" s="46" t="s">
        <v>3</v>
      </c>
      <c r="E2" s="46" t="s">
        <v>4</v>
      </c>
      <c r="F2" s="46" t="s">
        <v>5</v>
      </c>
      <c r="G2" s="46" t="s">
        <v>6</v>
      </c>
      <c r="H2" s="46" t="s">
        <v>7</v>
      </c>
      <c r="I2" s="46" t="s">
        <v>8</v>
      </c>
      <c r="J2" s="46" t="s">
        <v>3</v>
      </c>
      <c r="K2" s="46" t="s">
        <v>4</v>
      </c>
      <c r="L2" s="46" t="s">
        <v>5</v>
      </c>
      <c r="M2" s="46" t="s">
        <v>6</v>
      </c>
      <c r="N2" s="46" t="s">
        <v>7</v>
      </c>
      <c r="O2" s="46" t="s">
        <v>8</v>
      </c>
      <c r="P2" s="46" t="s">
        <v>3</v>
      </c>
      <c r="Q2" s="46" t="s">
        <v>4</v>
      </c>
      <c r="R2" s="46" t="s">
        <v>5</v>
      </c>
      <c r="S2" s="46" t="s">
        <v>6</v>
      </c>
      <c r="T2" s="46" t="s">
        <v>7</v>
      </c>
      <c r="U2" s="46" t="s">
        <v>8</v>
      </c>
      <c r="V2" s="195" t="s">
        <v>3</v>
      </c>
      <c r="W2" s="195" t="s">
        <v>4</v>
      </c>
      <c r="X2" s="195" t="s">
        <v>5</v>
      </c>
      <c r="Y2" s="195" t="s">
        <v>6</v>
      </c>
      <c r="Z2" s="195" t="s">
        <v>7</v>
      </c>
      <c r="AA2" s="195" t="s">
        <v>8</v>
      </c>
      <c r="AB2" s="46" t="s">
        <v>3</v>
      </c>
      <c r="AC2" s="46" t="s">
        <v>4</v>
      </c>
      <c r="AD2" s="46" t="s">
        <v>5</v>
      </c>
      <c r="AE2" s="46" t="s">
        <v>6</v>
      </c>
      <c r="AF2" s="46" t="s">
        <v>7</v>
      </c>
      <c r="AG2" s="46" t="s">
        <v>8</v>
      </c>
      <c r="AH2" s="46"/>
      <c r="AO2" s="70" t="s">
        <v>31</v>
      </c>
      <c r="AP2" s="71" t="s">
        <v>32</v>
      </c>
      <c r="AQ2" s="71" t="s">
        <v>33</v>
      </c>
      <c r="AR2" s="72" t="s">
        <v>34</v>
      </c>
      <c r="AS2" s="72" t="s">
        <v>35</v>
      </c>
      <c r="AT2" s="70" t="s">
        <v>37</v>
      </c>
      <c r="AU2" s="71" t="s">
        <v>38</v>
      </c>
      <c r="AV2" s="71" t="s">
        <v>39</v>
      </c>
      <c r="AW2" s="197" t="s">
        <v>40</v>
      </c>
      <c r="AX2" s="72" t="s">
        <v>41</v>
      </c>
      <c r="AY2" s="71"/>
      <c r="AZ2" s="70"/>
      <c r="BA2" s="71" t="s">
        <v>10</v>
      </c>
      <c r="BB2" s="71" t="s">
        <v>12</v>
      </c>
      <c r="BC2" s="71"/>
      <c r="BD2" s="72"/>
      <c r="BE2" s="72"/>
    </row>
    <row r="3" spans="1:57" x14ac:dyDescent="0.25">
      <c r="B3" s="223" t="s">
        <v>9</v>
      </c>
      <c r="C3" s="2" t="s">
        <v>10</v>
      </c>
      <c r="D3">
        <v>-6.65</v>
      </c>
      <c r="E3">
        <v>-5</v>
      </c>
      <c r="F3">
        <v>-1.9</v>
      </c>
      <c r="G3">
        <v>2</v>
      </c>
      <c r="H3">
        <v>3.6</v>
      </c>
      <c r="I3">
        <v>3.65</v>
      </c>
      <c r="J3">
        <v>-8.73</v>
      </c>
      <c r="K3">
        <v>-8</v>
      </c>
      <c r="L3">
        <v>-1.67</v>
      </c>
      <c r="M3">
        <v>1.67</v>
      </c>
      <c r="N3">
        <v>6.23</v>
      </c>
      <c r="O3">
        <v>6.9</v>
      </c>
      <c r="P3">
        <v>-9.24</v>
      </c>
      <c r="Q3">
        <v>-8.6</v>
      </c>
      <c r="R3">
        <v>-1.23</v>
      </c>
      <c r="S3">
        <v>1.23</v>
      </c>
      <c r="T3">
        <v>7.2</v>
      </c>
      <c r="U3">
        <v>7.84</v>
      </c>
      <c r="V3">
        <v>-9.24</v>
      </c>
      <c r="W3">
        <v>-8.6</v>
      </c>
      <c r="X3">
        <v>-1.23</v>
      </c>
      <c r="Y3">
        <v>1.23</v>
      </c>
      <c r="Z3">
        <v>7.2</v>
      </c>
      <c r="AA3">
        <v>7.84</v>
      </c>
      <c r="AB3">
        <v>-9.25</v>
      </c>
      <c r="AC3">
        <v>-8.4</v>
      </c>
      <c r="AD3">
        <v>-0.9</v>
      </c>
      <c r="AE3">
        <v>0.9</v>
      </c>
      <c r="AF3">
        <v>7.2</v>
      </c>
      <c r="AG3">
        <v>7.85</v>
      </c>
      <c r="AH3" t="s">
        <v>9</v>
      </c>
      <c r="AI3" s="2">
        <f>ABS(SUM(C18:H18))/2</f>
        <v>45.822500000000005</v>
      </c>
      <c r="AJ3" s="2">
        <f>ABS(SUM(I18:N18))/2</f>
        <v>63.080500000000001</v>
      </c>
      <c r="AK3" s="2">
        <f>ABS(SUM(O18:T18))/2</f>
        <v>66.131499999999988</v>
      </c>
      <c r="AL3" s="2">
        <f>ABS(SUM(U18:Z18))/2</f>
        <v>66.131499999999988</v>
      </c>
      <c r="AM3" s="2">
        <f>ABS(SUM(V18:AG18))/2</f>
        <v>118.66050000000001</v>
      </c>
      <c r="AO3" s="143">
        <f>AI3</f>
        <v>45.822500000000005</v>
      </c>
      <c r="AP3" s="143">
        <f t="shared" ref="AP3:AR3" si="0">AJ3</f>
        <v>63.080500000000001</v>
      </c>
      <c r="AQ3" s="143">
        <f t="shared" si="0"/>
        <v>66.131499999999988</v>
      </c>
      <c r="AR3" s="143">
        <f t="shared" si="0"/>
        <v>66.131499999999988</v>
      </c>
      <c r="AS3" s="143">
        <f>AM3</f>
        <v>118.66050000000001</v>
      </c>
      <c r="AT3" s="64">
        <f>$AG$8*((AO3+AO4)/2)</f>
        <v>226.55025000000001</v>
      </c>
      <c r="AU3" s="64">
        <f>$AG$8*((AP3+AP4)/2)</f>
        <v>349.99965000000003</v>
      </c>
      <c r="AV3" s="64">
        <f>$AG$8*((AQ3+AQ4)/2)</f>
        <v>357.88904999999994</v>
      </c>
      <c r="AW3" s="64">
        <f>$AG$8*((AR3+AR4)/2)</f>
        <v>357.88904999999994</v>
      </c>
      <c r="AX3" s="64">
        <f>$AG$8*((AS3+AS4)/2)</f>
        <v>667.09710000000007</v>
      </c>
      <c r="AY3">
        <v>-5.9</v>
      </c>
      <c r="AZ3" t="s">
        <v>9</v>
      </c>
      <c r="BA3">
        <f>AG3-AB3</f>
        <v>17.100000000000001</v>
      </c>
      <c r="BB3">
        <f>AG5</f>
        <v>0</v>
      </c>
    </row>
    <row r="4" spans="1:57" x14ac:dyDescent="0.25">
      <c r="B4" s="223"/>
      <c r="C4" s="2" t="s">
        <v>11</v>
      </c>
      <c r="D4">
        <v>0</v>
      </c>
      <c r="E4">
        <v>-2</v>
      </c>
      <c r="F4">
        <v>-6.4</v>
      </c>
      <c r="G4">
        <v>-6.4</v>
      </c>
      <c r="H4">
        <v>-1.3</v>
      </c>
      <c r="I4">
        <v>0</v>
      </c>
      <c r="J4">
        <v>0</v>
      </c>
      <c r="K4">
        <v>-1.8</v>
      </c>
      <c r="L4">
        <v>-6.1</v>
      </c>
      <c r="M4">
        <v>-6.1</v>
      </c>
      <c r="N4">
        <v>-1.2</v>
      </c>
      <c r="O4">
        <v>0</v>
      </c>
      <c r="P4">
        <v>0</v>
      </c>
      <c r="Q4">
        <v>-2.2999999999999998</v>
      </c>
      <c r="R4">
        <v>-5.8</v>
      </c>
      <c r="S4">
        <v>-5.8</v>
      </c>
      <c r="T4">
        <v>-1.2</v>
      </c>
      <c r="U4">
        <v>0</v>
      </c>
      <c r="V4">
        <v>0</v>
      </c>
      <c r="W4">
        <v>-2.2999999999999998</v>
      </c>
      <c r="X4">
        <v>-5.8</v>
      </c>
      <c r="Y4">
        <v>-5.8</v>
      </c>
      <c r="Z4">
        <v>-1.2</v>
      </c>
      <c r="AA4">
        <v>0</v>
      </c>
      <c r="AB4">
        <v>0</v>
      </c>
      <c r="AC4">
        <v>-2</v>
      </c>
      <c r="AD4">
        <v>-5.9</v>
      </c>
      <c r="AE4">
        <v>-5.9</v>
      </c>
      <c r="AF4">
        <v>-1</v>
      </c>
      <c r="AG4">
        <v>0</v>
      </c>
      <c r="AH4" t="s">
        <v>13</v>
      </c>
      <c r="AI4" s="2">
        <f>ABS(SUM(C19:H19))/2</f>
        <v>38.085000000000001</v>
      </c>
      <c r="AJ4" s="2">
        <f>ABS(SUM(I19:N19))/2</f>
        <v>66.549000000000007</v>
      </c>
      <c r="AK4" s="2">
        <f>ABS(SUM(O19:T19))/2</f>
        <v>66.419999999999987</v>
      </c>
      <c r="AL4" s="2">
        <f t="shared" ref="AL4:AL5" si="1">ABS(SUM(U19:Z19))/2</f>
        <v>66.419999999999987</v>
      </c>
      <c r="AM4" s="2">
        <f>ABS(SUM(V19:AG19))/2</f>
        <v>128.41249999999999</v>
      </c>
      <c r="AO4" s="143">
        <f>AI4</f>
        <v>38.085000000000001</v>
      </c>
      <c r="AP4" s="143">
        <f t="shared" ref="AP4" si="2">AJ4</f>
        <v>66.549000000000007</v>
      </c>
      <c r="AQ4" s="143">
        <f t="shared" ref="AQ4:AR4" si="3">AK4</f>
        <v>66.419999999999987</v>
      </c>
      <c r="AR4" s="143">
        <f t="shared" si="3"/>
        <v>66.419999999999987</v>
      </c>
      <c r="AS4" s="143">
        <f>AM4</f>
        <v>128.41249999999999</v>
      </c>
      <c r="AT4" s="109"/>
      <c r="AU4" s="64">
        <f>$AG$11*((AP4+AP5)/2)</f>
        <v>156.07530000000003</v>
      </c>
      <c r="AV4" s="64">
        <f>$AG$11*((AQ4+AQ5)/2)</f>
        <v>181.98499999999996</v>
      </c>
      <c r="AW4" s="64">
        <f>$AG$11*((AR4+AR5)/2)</f>
        <v>181.98499999999996</v>
      </c>
      <c r="AX4" s="64">
        <f>$AG$11*((AS4+AS5)/2)</f>
        <v>358.57675</v>
      </c>
      <c r="AY4">
        <v>-5</v>
      </c>
      <c r="AZ4" t="s">
        <v>13</v>
      </c>
      <c r="BA4">
        <f>AG6-AB6</f>
        <v>18.850000000000001</v>
      </c>
      <c r="BB4">
        <f>AG8</f>
        <v>5.4</v>
      </c>
    </row>
    <row r="5" spans="1:57" x14ac:dyDescent="0.25">
      <c r="B5" s="223"/>
      <c r="C5" s="2" t="s">
        <v>12</v>
      </c>
      <c r="D5">
        <v>0</v>
      </c>
      <c r="AH5" t="s">
        <v>14</v>
      </c>
      <c r="AJ5" s="2">
        <f>ABS(SUM(I20:N20))/2</f>
        <v>25.26</v>
      </c>
      <c r="AK5" s="2">
        <f>ABS(SUM(O20:T20))/2</f>
        <v>40.630000000000003</v>
      </c>
      <c r="AL5" s="2">
        <f t="shared" si="1"/>
        <v>40.630000000000003</v>
      </c>
      <c r="AM5" s="2">
        <f>ABS(SUM(V20:AG20))/2</f>
        <v>82.515000000000029</v>
      </c>
      <c r="AO5" s="170"/>
      <c r="AP5" s="143">
        <f t="shared" ref="AP5" si="4">AJ5</f>
        <v>25.26</v>
      </c>
      <c r="AQ5" s="143">
        <f t="shared" ref="AQ5:AR5" si="5">AK5</f>
        <v>40.630000000000003</v>
      </c>
      <c r="AR5" s="143">
        <f t="shared" si="5"/>
        <v>40.630000000000003</v>
      </c>
      <c r="AS5" s="143">
        <f>AM5</f>
        <v>82.515000000000029</v>
      </c>
      <c r="AU5" s="107"/>
      <c r="AV5" s="107"/>
      <c r="AX5" s="64">
        <f>$AG$14*((AS5+AS6)/2)</f>
        <v>149.47800000000004</v>
      </c>
      <c r="AY5">
        <v>-5.4</v>
      </c>
      <c r="AZ5" t="s">
        <v>14</v>
      </c>
      <c r="BA5">
        <f>AG9-AB9</f>
        <v>11.1</v>
      </c>
      <c r="BB5">
        <f>AG11</f>
        <v>3.4</v>
      </c>
    </row>
    <row r="6" spans="1:57" x14ac:dyDescent="0.25">
      <c r="B6" s="223" t="s">
        <v>13</v>
      </c>
      <c r="C6" s="2" t="s">
        <v>10</v>
      </c>
      <c r="D6">
        <v>-7.3</v>
      </c>
      <c r="E6">
        <v>-4.3</v>
      </c>
      <c r="F6">
        <v>-1</v>
      </c>
      <c r="G6">
        <v>1</v>
      </c>
      <c r="H6">
        <v>3.6</v>
      </c>
      <c r="I6">
        <v>4.8499999999999996</v>
      </c>
      <c r="J6">
        <v>-8.5500000000000007</v>
      </c>
      <c r="K6">
        <v>-8.1999999999999993</v>
      </c>
      <c r="L6">
        <v>-1.2</v>
      </c>
      <c r="M6">
        <v>1.2</v>
      </c>
      <c r="N6">
        <v>7.6</v>
      </c>
      <c r="O6">
        <v>7.9600000000000009</v>
      </c>
      <c r="P6">
        <v>-9.4899999999999984</v>
      </c>
      <c r="Q6">
        <v>-9.1</v>
      </c>
      <c r="R6">
        <v>-1.6</v>
      </c>
      <c r="S6">
        <v>1.6</v>
      </c>
      <c r="T6">
        <v>7.6</v>
      </c>
      <c r="U6">
        <v>8.1</v>
      </c>
      <c r="V6">
        <v>-9.4899999999999984</v>
      </c>
      <c r="W6">
        <v>-9.1</v>
      </c>
      <c r="X6">
        <v>-1.6</v>
      </c>
      <c r="Y6">
        <v>1.6</v>
      </c>
      <c r="Z6">
        <v>7.6</v>
      </c>
      <c r="AA6">
        <v>8.1</v>
      </c>
      <c r="AB6">
        <v>-10.5</v>
      </c>
      <c r="AC6">
        <v>-9.4</v>
      </c>
      <c r="AD6">
        <v>-1.8</v>
      </c>
      <c r="AE6">
        <v>1.8</v>
      </c>
      <c r="AF6">
        <v>7.9</v>
      </c>
      <c r="AG6">
        <v>8.35</v>
      </c>
      <c r="AH6" t="s">
        <v>15</v>
      </c>
      <c r="AM6" s="2">
        <f>ABS(SUM(V21:AG21))/2</f>
        <v>24.254999999999999</v>
      </c>
      <c r="AO6" s="169"/>
      <c r="AP6" s="170"/>
      <c r="AQ6" s="170"/>
      <c r="AS6" s="143">
        <f>AM6</f>
        <v>24.254999999999999</v>
      </c>
      <c r="AY6">
        <v>4.5</v>
      </c>
      <c r="AZ6" t="s">
        <v>15</v>
      </c>
      <c r="BA6">
        <f>AG12-AB12</f>
        <v>5.9</v>
      </c>
      <c r="BB6">
        <f>AG14</f>
        <v>2.8</v>
      </c>
    </row>
    <row r="7" spans="1:57" x14ac:dyDescent="0.25">
      <c r="B7" s="223"/>
      <c r="C7" s="2" t="s">
        <v>11</v>
      </c>
      <c r="D7">
        <v>0</v>
      </c>
      <c r="E7">
        <v>-3.5</v>
      </c>
      <c r="F7">
        <v>-4.3</v>
      </c>
      <c r="G7">
        <v>-4.3</v>
      </c>
      <c r="H7">
        <v>-3</v>
      </c>
      <c r="I7">
        <v>0</v>
      </c>
      <c r="J7">
        <v>0</v>
      </c>
      <c r="K7">
        <v>-3.4</v>
      </c>
      <c r="L7">
        <v>-4.9000000000000004</v>
      </c>
      <c r="M7">
        <v>-4.9000000000000004</v>
      </c>
      <c r="N7">
        <v>-2.8</v>
      </c>
      <c r="O7">
        <v>0</v>
      </c>
      <c r="P7">
        <v>0</v>
      </c>
      <c r="Q7">
        <v>-3</v>
      </c>
      <c r="R7">
        <v>-4.8</v>
      </c>
      <c r="S7">
        <v>-4.8</v>
      </c>
      <c r="T7">
        <v>-2.1</v>
      </c>
      <c r="U7">
        <v>0</v>
      </c>
      <c r="V7">
        <v>0</v>
      </c>
      <c r="W7">
        <v>-3</v>
      </c>
      <c r="X7">
        <v>-4.8</v>
      </c>
      <c r="Y7">
        <v>-4.8</v>
      </c>
      <c r="Z7">
        <v>-2.1</v>
      </c>
      <c r="AA7">
        <v>0</v>
      </c>
      <c r="AB7">
        <v>0</v>
      </c>
      <c r="AC7">
        <v>-3.2</v>
      </c>
      <c r="AD7">
        <v>-5.0999999999999996</v>
      </c>
      <c r="AE7">
        <v>-5</v>
      </c>
      <c r="AF7">
        <v>-2.9</v>
      </c>
      <c r="AG7">
        <v>0</v>
      </c>
      <c r="AH7" t="s">
        <v>86</v>
      </c>
      <c r="AI7" s="2">
        <f>SUM(AI3:AI6)</f>
        <v>83.907499999999999</v>
      </c>
      <c r="AJ7" s="2">
        <f>SUM(AJ3:AJ6)</f>
        <v>154.8895</v>
      </c>
      <c r="AK7" s="2">
        <f>SUM(AK3:AK6)</f>
        <v>173.18149999999997</v>
      </c>
      <c r="AL7" s="2">
        <f>SUM(AL3:AL6)</f>
        <v>173.18149999999997</v>
      </c>
      <c r="AM7" s="2">
        <f>SUM(AM3:AM6)</f>
        <v>353.84300000000002</v>
      </c>
      <c r="AO7" s="181">
        <f t="shared" ref="AO7:AR7" si="6">SUM(AO3:AO6)</f>
        <v>83.907499999999999</v>
      </c>
      <c r="AP7" s="181">
        <f t="shared" si="6"/>
        <v>154.8895</v>
      </c>
      <c r="AQ7" s="181">
        <f t="shared" si="6"/>
        <v>173.18149999999997</v>
      </c>
      <c r="AR7" s="181">
        <f t="shared" si="6"/>
        <v>173.18149999999997</v>
      </c>
      <c r="AS7" s="181">
        <f>SUM(AS3:AS6)</f>
        <v>353.84300000000002</v>
      </c>
      <c r="AT7" s="110">
        <f>SUM(AT3:AT6)</f>
        <v>226.55025000000001</v>
      </c>
      <c r="AU7" s="110">
        <f>SUM(AU3:AU6)</f>
        <v>506.07495000000006</v>
      </c>
      <c r="AV7" s="110">
        <f>SUM(AV3:AV6)</f>
        <v>539.8740499999999</v>
      </c>
      <c r="AX7" s="110">
        <f>SUM(AX3:AX6)</f>
        <v>1175.1518500000002</v>
      </c>
    </row>
    <row r="8" spans="1:57" x14ac:dyDescent="0.25">
      <c r="A8" t="s">
        <v>9</v>
      </c>
      <c r="B8" s="223"/>
      <c r="C8" s="2" t="s">
        <v>12</v>
      </c>
      <c r="AG8">
        <v>5.4</v>
      </c>
      <c r="AH8" t="s">
        <v>65</v>
      </c>
      <c r="AS8" s="63">
        <f>AS7-AO7</f>
        <v>269.93550000000005</v>
      </c>
      <c r="AT8">
        <v>0</v>
      </c>
      <c r="AU8" s="110">
        <f>(AU7-AT7)+AT8</f>
        <v>279.52470000000005</v>
      </c>
      <c r="AV8" s="110">
        <f>(AV7-AU7)+AU8</f>
        <v>313.32379999999989</v>
      </c>
      <c r="AX8" s="110">
        <f>(AX7-AV7)+AV8</f>
        <v>948.60160000000019</v>
      </c>
    </row>
    <row r="9" spans="1:57" x14ac:dyDescent="0.25">
      <c r="B9" s="223" t="s">
        <v>14</v>
      </c>
      <c r="C9" s="2" t="s">
        <v>10</v>
      </c>
      <c r="D9" s="108"/>
      <c r="E9" s="108"/>
      <c r="F9" s="108"/>
      <c r="G9" s="108"/>
      <c r="H9" s="108"/>
      <c r="I9" s="108"/>
      <c r="J9">
        <v>-3.2</v>
      </c>
      <c r="K9">
        <v>-2.8</v>
      </c>
      <c r="L9">
        <v>-2</v>
      </c>
      <c r="M9">
        <v>2</v>
      </c>
      <c r="N9">
        <v>3.1</v>
      </c>
      <c r="O9">
        <v>3.5</v>
      </c>
      <c r="P9">
        <v>-4.5999999999999996</v>
      </c>
      <c r="Q9">
        <v>-4.2</v>
      </c>
      <c r="R9">
        <v>-3</v>
      </c>
      <c r="S9">
        <v>3</v>
      </c>
      <c r="T9">
        <v>3.6</v>
      </c>
      <c r="U9">
        <v>4.0999999999999996</v>
      </c>
      <c r="V9">
        <v>-4.5999999999999996</v>
      </c>
      <c r="W9">
        <v>-4.2</v>
      </c>
      <c r="X9">
        <v>-3</v>
      </c>
      <c r="Y9">
        <v>3</v>
      </c>
      <c r="Z9">
        <v>3.6</v>
      </c>
      <c r="AA9">
        <v>4.0999999999999996</v>
      </c>
      <c r="AB9">
        <v>-5.8</v>
      </c>
      <c r="AC9">
        <v>-5</v>
      </c>
      <c r="AD9">
        <v>-2.1</v>
      </c>
      <c r="AE9">
        <v>2</v>
      </c>
      <c r="AF9">
        <v>4.5999999999999996</v>
      </c>
      <c r="AG9">
        <v>5.3</v>
      </c>
      <c r="AH9" t="s">
        <v>66</v>
      </c>
      <c r="AP9" t="s">
        <v>76</v>
      </c>
      <c r="AT9" s="147">
        <f>AG11+AG14</f>
        <v>6.1999999999999993</v>
      </c>
    </row>
    <row r="10" spans="1:57" x14ac:dyDescent="0.25">
      <c r="B10" s="223"/>
      <c r="C10" s="2" t="s">
        <v>11</v>
      </c>
      <c r="D10" s="108"/>
      <c r="E10" s="108"/>
      <c r="F10" s="108"/>
      <c r="G10" s="108"/>
      <c r="H10" s="108"/>
      <c r="I10" s="108"/>
      <c r="J10">
        <v>0</v>
      </c>
      <c r="K10">
        <v>-3</v>
      </c>
      <c r="L10">
        <v>-4.3</v>
      </c>
      <c r="M10">
        <v>-4.3</v>
      </c>
      <c r="N10">
        <v>-2.9</v>
      </c>
      <c r="O10">
        <v>0</v>
      </c>
      <c r="P10">
        <v>0</v>
      </c>
      <c r="Q10">
        <v>-3.6</v>
      </c>
      <c r="R10">
        <v>-5.2</v>
      </c>
      <c r="S10">
        <v>-5.2</v>
      </c>
      <c r="T10">
        <v>-3.4</v>
      </c>
      <c r="U10">
        <v>0</v>
      </c>
      <c r="V10">
        <v>0</v>
      </c>
      <c r="W10">
        <v>-3.6</v>
      </c>
      <c r="X10">
        <v>-5.2</v>
      </c>
      <c r="Y10">
        <v>-5.2</v>
      </c>
      <c r="Z10">
        <v>-3.4</v>
      </c>
      <c r="AA10">
        <v>0</v>
      </c>
      <c r="AB10">
        <v>0</v>
      </c>
      <c r="AC10">
        <v>-4</v>
      </c>
      <c r="AD10">
        <v>-5.4</v>
      </c>
      <c r="AE10">
        <v>-5.4</v>
      </c>
      <c r="AF10">
        <v>-3.5</v>
      </c>
      <c r="AG10">
        <v>0</v>
      </c>
      <c r="AP10" t="s">
        <v>81</v>
      </c>
      <c r="AT10">
        <f>(AM4+AM7+AL10+AL13)/4</f>
        <v>120.563875</v>
      </c>
    </row>
    <row r="11" spans="1:57" x14ac:dyDescent="0.25">
      <c r="B11" s="223"/>
      <c r="C11" s="2" t="s">
        <v>12</v>
      </c>
      <c r="D11" s="108"/>
      <c r="E11" s="108"/>
      <c r="F11" s="108"/>
      <c r="G11" s="108"/>
      <c r="H11" s="108"/>
      <c r="I11" s="108"/>
      <c r="AG11">
        <v>3.4</v>
      </c>
    </row>
    <row r="12" spans="1:57" x14ac:dyDescent="0.25">
      <c r="B12" s="223" t="s">
        <v>15</v>
      </c>
      <c r="C12" s="2" t="s">
        <v>10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>
        <v>-3.1</v>
      </c>
      <c r="AC12">
        <v>-2.7</v>
      </c>
      <c r="AD12">
        <v>-2</v>
      </c>
      <c r="AE12">
        <v>2</v>
      </c>
      <c r="AF12">
        <v>2.5</v>
      </c>
      <c r="AG12">
        <v>2.8</v>
      </c>
    </row>
    <row r="13" spans="1:57" x14ac:dyDescent="0.25">
      <c r="B13" s="223"/>
      <c r="C13" s="2" t="s">
        <v>11</v>
      </c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>
        <v>0</v>
      </c>
      <c r="AC13">
        <v>-3.7</v>
      </c>
      <c r="AD13">
        <v>-4.5</v>
      </c>
      <c r="AE13">
        <v>-4.5</v>
      </c>
      <c r="AF13">
        <v>-3.8</v>
      </c>
      <c r="AG13">
        <v>0</v>
      </c>
    </row>
    <row r="14" spans="1:57" x14ac:dyDescent="0.25">
      <c r="B14" s="223"/>
      <c r="C14" s="2" t="s">
        <v>12</v>
      </c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G14">
        <v>2.8</v>
      </c>
      <c r="AI14" s="2">
        <f>AVERAGE((AG3-AB3),(AG6-AB6),(AG9-AB9),(AG12-AB12))</f>
        <v>13.237500000000001</v>
      </c>
    </row>
    <row r="15" spans="1:57" s="2" customFormat="1" x14ac:dyDescent="0.25">
      <c r="B15" s="164"/>
      <c r="G15" s="2">
        <f>AVERAGE((I3-D3),I6-D6)</f>
        <v>11.225</v>
      </c>
      <c r="AI15" s="2">
        <f>AVERAGE(AD4,AD7,AD10,AD13)</f>
        <v>-5.2249999999999996</v>
      </c>
    </row>
    <row r="16" spans="1:57" s="2" customFormat="1" x14ac:dyDescent="0.25">
      <c r="B16" s="164"/>
      <c r="G16" s="2">
        <f>AVERAGE(G4,G7)</f>
        <v>-5.35</v>
      </c>
    </row>
    <row r="17" spans="2:35" s="2" customFormat="1" x14ac:dyDescent="0.25">
      <c r="B17" s="164"/>
    </row>
    <row r="18" spans="2:35" s="2" customFormat="1" x14ac:dyDescent="0.25">
      <c r="B18" s="164"/>
      <c r="C18">
        <f>D3*E4-D4*E3</f>
        <v>13.3</v>
      </c>
      <c r="D18">
        <f>E3*F4-E4*F3</f>
        <v>28.2</v>
      </c>
      <c r="E18">
        <f>F3*G4-F4*G3</f>
        <v>24.96</v>
      </c>
      <c r="F18">
        <f>G3*H4-G4*H3</f>
        <v>20.440000000000001</v>
      </c>
      <c r="G18">
        <f>H3*I4-H4*I3</f>
        <v>4.7450000000000001</v>
      </c>
      <c r="H18">
        <f>I3*D4-I4*D3</f>
        <v>0</v>
      </c>
      <c r="I18">
        <f>J3*K4-J4*K3</f>
        <v>15.714</v>
      </c>
      <c r="J18">
        <f>K3*L4-K4*L3</f>
        <v>45.793999999999997</v>
      </c>
      <c r="K18">
        <f>L3*M4-L4*M3</f>
        <v>20.373999999999999</v>
      </c>
      <c r="L18">
        <f>M3*N4-M4*N3</f>
        <v>35.999000000000002</v>
      </c>
      <c r="M18">
        <f>N3*O4-N4*O3</f>
        <v>8.2799999999999994</v>
      </c>
      <c r="N18">
        <f>O3*J4-O4*J3</f>
        <v>0</v>
      </c>
      <c r="O18">
        <f>P3*Q4-P4*Q3</f>
        <v>21.251999999999999</v>
      </c>
      <c r="P18">
        <f>Q3*R4-Q4*R3</f>
        <v>47.050999999999995</v>
      </c>
      <c r="Q18">
        <f>R3*S4-R4*S3</f>
        <v>14.267999999999999</v>
      </c>
      <c r="R18">
        <f>S3*T4-S4*T3</f>
        <v>40.283999999999999</v>
      </c>
      <c r="S18">
        <f>T3*U4-T4*U3</f>
        <v>9.4079999999999995</v>
      </c>
      <c r="T18">
        <f>U3*P4-U4*P3</f>
        <v>0</v>
      </c>
      <c r="U18">
        <f>V3*W4-V4*W3</f>
        <v>21.251999999999999</v>
      </c>
      <c r="V18">
        <f>W3*X4-W4*X3</f>
        <v>47.050999999999995</v>
      </c>
      <c r="W18">
        <f>X3*Y4-X4*Y3</f>
        <v>14.267999999999999</v>
      </c>
      <c r="X18">
        <f>Y3*Z4-Y4*Z3</f>
        <v>40.283999999999999</v>
      </c>
      <c r="Y18">
        <f>Z3*AA4-Z4*AA3</f>
        <v>9.4079999999999995</v>
      </c>
      <c r="Z18">
        <f>AA3*V4-AA4*V3</f>
        <v>0</v>
      </c>
      <c r="AB18">
        <f>AB3*AC4-AB4*AC3</f>
        <v>18.5</v>
      </c>
      <c r="AC18">
        <f>AC3*AD4-AC4*AD3</f>
        <v>47.760000000000005</v>
      </c>
      <c r="AD18">
        <f>AD3*AE4-AD4*AE3</f>
        <v>10.620000000000001</v>
      </c>
      <c r="AE18">
        <f>AE3*AF4-AE4*AF3</f>
        <v>41.580000000000005</v>
      </c>
      <c r="AF18">
        <f>AF3*AG4-AF4*AG3</f>
        <v>7.85</v>
      </c>
      <c r="AG18">
        <f>AG3*AB4-AG4*AB3</f>
        <v>0</v>
      </c>
    </row>
    <row r="19" spans="2:35" s="2" customFormat="1" x14ac:dyDescent="0.25">
      <c r="B19" s="223"/>
      <c r="C19">
        <f>D6*E7-D7*E6</f>
        <v>25.55</v>
      </c>
      <c r="D19">
        <f>E6*F7-E7*F6</f>
        <v>14.989999999999998</v>
      </c>
      <c r="E19">
        <f>F6*G7-F7*G6</f>
        <v>8.6</v>
      </c>
      <c r="F19">
        <f>G6*H7-G7*H6</f>
        <v>12.48</v>
      </c>
      <c r="G19">
        <f>H6*I7-H7*I6</f>
        <v>14.549999999999999</v>
      </c>
      <c r="H19">
        <f>I6*D7-I7*D6</f>
        <v>0</v>
      </c>
      <c r="I19">
        <f>J6*K7-J7*K6</f>
        <v>29.07</v>
      </c>
      <c r="J19">
        <f>K6*L7-K7*L6</f>
        <v>36.1</v>
      </c>
      <c r="K19">
        <f>L6*M7-L7*M6</f>
        <v>11.76</v>
      </c>
      <c r="L19">
        <f>M6*N7-M7*N6</f>
        <v>33.880000000000003</v>
      </c>
      <c r="M19">
        <f>N6*O7-N7*O6</f>
        <v>22.288</v>
      </c>
      <c r="N19">
        <f>O6*J7-O7*J6</f>
        <v>0</v>
      </c>
      <c r="O19">
        <f>P6*Q7-P7*Q6</f>
        <v>28.469999999999995</v>
      </c>
      <c r="P19">
        <f>Q6*R7-Q7*R6</f>
        <v>38.879999999999995</v>
      </c>
      <c r="Q19">
        <f>R6*S7-R7*S6</f>
        <v>15.36</v>
      </c>
      <c r="R19">
        <f>S6*T7-S7*T6</f>
        <v>33.119999999999997</v>
      </c>
      <c r="S19">
        <f>T6*U7-T7*U6</f>
        <v>17.010000000000002</v>
      </c>
      <c r="T19">
        <f>U6*P7-U7*P6</f>
        <v>0</v>
      </c>
      <c r="U19">
        <f>V6*W7-V7*W6</f>
        <v>28.469999999999995</v>
      </c>
      <c r="V19">
        <f>W6*X7-W7*X6</f>
        <v>38.879999999999995</v>
      </c>
      <c r="W19">
        <f>X6*Y7-X7*Y6</f>
        <v>15.36</v>
      </c>
      <c r="X19">
        <f>Y6*Z7-Y7*Z6</f>
        <v>33.119999999999997</v>
      </c>
      <c r="Y19">
        <f>Z6*AA7-Z7*AA6</f>
        <v>17.010000000000002</v>
      </c>
      <c r="Z19">
        <f>AA6*V7-AA7*V6</f>
        <v>0</v>
      </c>
      <c r="AB19">
        <f>AB6*AC7-AB7*AC6</f>
        <v>33.6</v>
      </c>
      <c r="AC19">
        <f>AC6*AD7-AC7*AD6</f>
        <v>42.18</v>
      </c>
      <c r="AD19">
        <f>AD6*AE7-AD7*AE6</f>
        <v>18.18</v>
      </c>
      <c r="AE19">
        <f>AE6*AF7-AE7*AF6</f>
        <v>34.28</v>
      </c>
      <c r="AF19">
        <f>AF6*AG7-AF7*AG6</f>
        <v>24.215</v>
      </c>
      <c r="AG19">
        <f>AG6*AB7-AG7*AB6</f>
        <v>0</v>
      </c>
    </row>
    <row r="20" spans="2:35" x14ac:dyDescent="0.25">
      <c r="B20" s="223"/>
      <c r="I20">
        <f>J9*K10-J10*K9</f>
        <v>9.6000000000000014</v>
      </c>
      <c r="J20">
        <f>K9*L10-K10*L9</f>
        <v>6.0399999999999991</v>
      </c>
      <c r="K20">
        <f>L9*M10-L10*M9</f>
        <v>17.2</v>
      </c>
      <c r="L20">
        <f>M9*N10-M10*N9</f>
        <v>7.53</v>
      </c>
      <c r="M20">
        <f>N9*O10-N10*O9</f>
        <v>10.15</v>
      </c>
      <c r="N20">
        <f>O9*J10-O10*J9</f>
        <v>0</v>
      </c>
      <c r="O20">
        <f>P9*Q10-P10*Q9</f>
        <v>16.559999999999999</v>
      </c>
      <c r="P20">
        <f>Q9*R10-Q10*R9</f>
        <v>11.040000000000003</v>
      </c>
      <c r="Q20">
        <f>R9*S10-R10*S9</f>
        <v>31.200000000000003</v>
      </c>
      <c r="R20">
        <f>S9*T10-S10*T9</f>
        <v>8.5200000000000031</v>
      </c>
      <c r="S20">
        <f>T9*U10-T10*U9</f>
        <v>13.939999999999998</v>
      </c>
      <c r="T20">
        <f>U9*P10-U10*P9</f>
        <v>0</v>
      </c>
      <c r="U20">
        <f>V9*W10-V10*W9</f>
        <v>16.559999999999999</v>
      </c>
      <c r="V20">
        <f>W9*X10-W10*X9</f>
        <v>11.040000000000003</v>
      </c>
      <c r="W20">
        <f>X9*Y10-X10*Y9</f>
        <v>31.200000000000003</v>
      </c>
      <c r="X20">
        <f>Y9*Z10-Y10*Z9</f>
        <v>8.5200000000000031</v>
      </c>
      <c r="Y20">
        <f>Z9*AA10-Z10*AA9</f>
        <v>13.939999999999998</v>
      </c>
      <c r="Z20">
        <f>AA9*V10-AA10*V9</f>
        <v>0</v>
      </c>
      <c r="AB20">
        <f>AB9*AC10-AB10*AC9</f>
        <v>23.2</v>
      </c>
      <c r="AC20">
        <f>AC9*AD10-AC10*AD9</f>
        <v>18.600000000000001</v>
      </c>
      <c r="AD20">
        <f>AD9*AE10-AD10*AE9</f>
        <v>22.14</v>
      </c>
      <c r="AE20">
        <f>AE9*AF10-AE10*AF9</f>
        <v>17.84</v>
      </c>
      <c r="AF20">
        <f>AF9*AG10-AF10*AG9</f>
        <v>18.55</v>
      </c>
      <c r="AG20">
        <f>AG9*AB10-AG10*AB9</f>
        <v>0</v>
      </c>
    </row>
    <row r="21" spans="2:35" x14ac:dyDescent="0.25">
      <c r="B21" s="223"/>
      <c r="AB21">
        <f>AB12*AC13-AB13*AC12</f>
        <v>11.47</v>
      </c>
      <c r="AC21">
        <f>AC12*AD13-AC13*AD12</f>
        <v>4.75</v>
      </c>
      <c r="AD21">
        <f>AD12*AE13-AD13*AE12</f>
        <v>18</v>
      </c>
      <c r="AE21">
        <f>AE12*AF13-AE13*AF12</f>
        <v>3.6500000000000004</v>
      </c>
      <c r="AF21">
        <f>AF12*AG13-AF13*AG12</f>
        <v>10.639999999999999</v>
      </c>
      <c r="AG21">
        <f>AG12*AB13-AG13*AB12</f>
        <v>0</v>
      </c>
    </row>
    <row r="22" spans="2:35" x14ac:dyDescent="0.25">
      <c r="C22" s="47"/>
      <c r="D22" s="47">
        <f>F1</f>
        <v>41453</v>
      </c>
      <c r="E22" s="47">
        <f>K1</f>
        <v>41478</v>
      </c>
      <c r="F22" s="47">
        <f>Q1</f>
        <v>41491</v>
      </c>
      <c r="G22" s="47">
        <f>AC1</f>
        <v>41516</v>
      </c>
      <c r="AI22" s="102"/>
    </row>
    <row r="23" spans="2:35" x14ac:dyDescent="0.25">
      <c r="B23" t="s">
        <v>9</v>
      </c>
      <c r="C23" t="s">
        <v>10</v>
      </c>
      <c r="D23">
        <f>I6-D6</f>
        <v>12.149999999999999</v>
      </c>
      <c r="E23">
        <f>O6-J6</f>
        <v>16.510000000000002</v>
      </c>
      <c r="F23">
        <f>U6-P6</f>
        <v>17.589999999999996</v>
      </c>
      <c r="G23">
        <f>AG6-AB6</f>
        <v>18.850000000000001</v>
      </c>
      <c r="AI23" s="102"/>
    </row>
    <row r="24" spans="2:35" x14ac:dyDescent="0.25">
      <c r="B24"/>
      <c r="C24" t="s">
        <v>11</v>
      </c>
      <c r="D24">
        <f>F7</f>
        <v>-4.3</v>
      </c>
      <c r="E24">
        <f>M7</f>
        <v>-4.9000000000000004</v>
      </c>
      <c r="F24">
        <f>R7</f>
        <v>-4.8</v>
      </c>
      <c r="G24">
        <f>AD7</f>
        <v>-5.0999999999999996</v>
      </c>
      <c r="AI24" s="102"/>
    </row>
    <row r="25" spans="2:35" x14ac:dyDescent="0.25">
      <c r="B25"/>
      <c r="C25" t="s">
        <v>12</v>
      </c>
      <c r="D25">
        <f>D8</f>
        <v>0</v>
      </c>
      <c r="E25">
        <f>J11+D25</f>
        <v>0</v>
      </c>
      <c r="F25">
        <f>J11+D8</f>
        <v>0</v>
      </c>
      <c r="G25">
        <f>AB14+F25</f>
        <v>0</v>
      </c>
    </row>
  </sheetData>
  <mergeCells count="5">
    <mergeCell ref="B3:B5"/>
    <mergeCell ref="B6:B8"/>
    <mergeCell ref="B9:B11"/>
    <mergeCell ref="B12:B14"/>
    <mergeCell ref="B19:B2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9"/>
  <sheetViews>
    <sheetView topLeftCell="X1" zoomScale="75" zoomScaleNormal="75" workbookViewId="0">
      <selection activeCell="AS5" sqref="AS5:AU6"/>
    </sheetView>
  </sheetViews>
  <sheetFormatPr defaultRowHeight="15" x14ac:dyDescent="0.25"/>
  <cols>
    <col min="3" max="4" width="10.85546875" bestFit="1" customWidth="1"/>
    <col min="5" max="5" width="9.7109375" bestFit="1" customWidth="1"/>
    <col min="6" max="7" width="10.85546875" bestFit="1" customWidth="1"/>
    <col min="23" max="23" width="10.85546875" bestFit="1" customWidth="1"/>
  </cols>
  <sheetData>
    <row r="1" spans="1:53" x14ac:dyDescent="0.25"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102">
        <v>41478</v>
      </c>
      <c r="AJ1" s="47">
        <v>41491</v>
      </c>
      <c r="AK1" s="47">
        <v>41495</v>
      </c>
      <c r="AL1" s="47">
        <v>41517</v>
      </c>
    </row>
    <row r="2" spans="1:53" ht="15.75" thickBot="1" x14ac:dyDescent="0.3"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165"/>
      <c r="AS2" s="205"/>
      <c r="AT2" s="205"/>
      <c r="AU2" s="205"/>
      <c r="AV2" s="3"/>
      <c r="AW2" s="3"/>
      <c r="AX2" s="3"/>
      <c r="AY2" s="3"/>
      <c r="AZ2" s="3"/>
      <c r="BA2" s="3"/>
    </row>
    <row r="3" spans="1:53" x14ac:dyDescent="0.25">
      <c r="F3" s="47">
        <v>41453</v>
      </c>
      <c r="I3" s="1"/>
      <c r="J3" s="2"/>
      <c r="K3" s="102">
        <v>41478</v>
      </c>
      <c r="L3" s="2"/>
      <c r="M3" s="2"/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4">
        <v>41478</v>
      </c>
      <c r="AJ3" s="105">
        <v>41491</v>
      </c>
      <c r="AK3" s="105">
        <v>41495</v>
      </c>
      <c r="AL3" s="106">
        <v>41516</v>
      </c>
      <c r="AM3" s="103">
        <v>41453</v>
      </c>
      <c r="AN3" s="104">
        <v>41478</v>
      </c>
      <c r="AO3" s="105">
        <v>41491</v>
      </c>
      <c r="AP3" s="105">
        <v>41495</v>
      </c>
      <c r="AQ3" s="106" t="s">
        <v>2</v>
      </c>
      <c r="AR3" s="171"/>
      <c r="AS3" s="171"/>
      <c r="AT3" s="171"/>
      <c r="AU3" s="171"/>
      <c r="AV3" s="1"/>
      <c r="AW3" t="s">
        <v>50</v>
      </c>
      <c r="AX3" t="s">
        <v>42</v>
      </c>
      <c r="AY3" t="s">
        <v>54</v>
      </c>
      <c r="AZ3" t="s">
        <v>55</v>
      </c>
      <c r="BA3" t="s">
        <v>59</v>
      </c>
    </row>
    <row r="4" spans="1:53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2" t="s">
        <v>35</v>
      </c>
      <c r="AM4" s="70" t="s">
        <v>37</v>
      </c>
      <c r="AN4" s="71" t="s">
        <v>38</v>
      </c>
      <c r="AO4" s="71" t="s">
        <v>39</v>
      </c>
      <c r="AP4" s="71" t="s">
        <v>40</v>
      </c>
      <c r="AQ4" s="72" t="s">
        <v>41</v>
      </c>
      <c r="AR4" s="71"/>
      <c r="AS4" s="71"/>
      <c r="AT4" s="71" t="s">
        <v>10</v>
      </c>
      <c r="AU4" s="71" t="s">
        <v>12</v>
      </c>
      <c r="AV4" t="s">
        <v>9</v>
      </c>
      <c r="AW4">
        <v>0</v>
      </c>
      <c r="AY4">
        <v>-5.0999999999999996</v>
      </c>
      <c r="AZ4">
        <v>11.5</v>
      </c>
    </row>
    <row r="5" spans="1:53" x14ac:dyDescent="0.25">
      <c r="A5" s="219" t="s">
        <v>9</v>
      </c>
      <c r="B5" s="5" t="s">
        <v>10</v>
      </c>
      <c r="C5" s="7">
        <v>-1.1000000000000001</v>
      </c>
      <c r="D5" s="7">
        <v>-1.1000000000000001</v>
      </c>
      <c r="E5" s="7">
        <v>-1</v>
      </c>
      <c r="F5" s="10">
        <v>0.5</v>
      </c>
      <c r="G5" s="10">
        <v>0.5</v>
      </c>
      <c r="H5" s="8">
        <v>0.59999999999999987</v>
      </c>
      <c r="I5" s="7">
        <v>-1.2</v>
      </c>
      <c r="J5" s="10">
        <v>-1.2</v>
      </c>
      <c r="K5" s="10">
        <v>-1.2</v>
      </c>
      <c r="L5" s="10">
        <v>0.5</v>
      </c>
      <c r="M5" s="10">
        <v>0.5</v>
      </c>
      <c r="N5" s="9">
        <v>0.7</v>
      </c>
      <c r="O5" s="7">
        <v>-1.2</v>
      </c>
      <c r="P5" s="10">
        <v>-1.2</v>
      </c>
      <c r="Q5" s="10">
        <v>-1.2</v>
      </c>
      <c r="R5" s="10">
        <v>1.2</v>
      </c>
      <c r="S5" s="10">
        <v>1.2</v>
      </c>
      <c r="T5" s="9">
        <v>1.1499999999999999</v>
      </c>
      <c r="U5" s="7">
        <v>-1.2</v>
      </c>
      <c r="V5" s="10">
        <v>-1.2</v>
      </c>
      <c r="W5" s="10">
        <v>-1.2</v>
      </c>
      <c r="X5" s="10">
        <v>1.2</v>
      </c>
      <c r="Y5" s="10">
        <v>1.2</v>
      </c>
      <c r="Z5" s="9">
        <v>1.2</v>
      </c>
      <c r="AA5" s="10">
        <v>-1.2</v>
      </c>
      <c r="AB5" s="10">
        <v>-1.2</v>
      </c>
      <c r="AC5" s="10">
        <v>-1.2</v>
      </c>
      <c r="AD5" s="10">
        <v>1.2</v>
      </c>
      <c r="AE5" s="10">
        <v>1.2</v>
      </c>
      <c r="AF5" s="11">
        <v>1.2</v>
      </c>
      <c r="AG5" s="16" t="s">
        <v>13</v>
      </c>
      <c r="AH5" s="75">
        <f>AG13</f>
        <v>2.7949999999999999</v>
      </c>
      <c r="AI5" s="75">
        <f t="shared" ref="AI5:AL6" si="0">AH13</f>
        <v>3.05</v>
      </c>
      <c r="AJ5" s="75">
        <f t="shared" si="0"/>
        <v>4.04</v>
      </c>
      <c r="AK5" s="75">
        <f t="shared" si="0"/>
        <v>4.8</v>
      </c>
      <c r="AL5" s="75">
        <f t="shared" si="0"/>
        <v>4.8</v>
      </c>
      <c r="AM5" s="78"/>
      <c r="AN5" s="49"/>
      <c r="AO5" s="49"/>
      <c r="AP5" s="49"/>
      <c r="AQ5" s="81"/>
      <c r="AR5" s="49"/>
      <c r="AS5" s="16" t="s">
        <v>13</v>
      </c>
      <c r="AT5" s="49">
        <f>AF5-AA5</f>
        <v>2.4</v>
      </c>
      <c r="AU5" s="49">
        <f>AA7</f>
        <v>2</v>
      </c>
      <c r="AV5" t="s">
        <v>13</v>
      </c>
      <c r="AW5">
        <v>2.4</v>
      </c>
      <c r="AX5" s="100">
        <v>99.397579792000016</v>
      </c>
      <c r="AY5">
        <v>-5.0999999999999996</v>
      </c>
      <c r="AZ5">
        <v>11.6</v>
      </c>
    </row>
    <row r="6" spans="1:53" x14ac:dyDescent="0.25">
      <c r="A6" s="220"/>
      <c r="B6" s="12" t="s">
        <v>11</v>
      </c>
      <c r="C6" s="13">
        <v>0</v>
      </c>
      <c r="D6" s="16">
        <v>-1.6</v>
      </c>
      <c r="E6" s="16">
        <v>-1.7</v>
      </c>
      <c r="F6" s="16">
        <v>-1.7</v>
      </c>
      <c r="G6" s="16">
        <v>-1.6</v>
      </c>
      <c r="H6" s="15">
        <v>0</v>
      </c>
      <c r="I6" s="13">
        <v>0</v>
      </c>
      <c r="J6" s="16">
        <v>-1.6</v>
      </c>
      <c r="K6" s="16">
        <v>-1.7</v>
      </c>
      <c r="L6" s="16">
        <v>-1.7</v>
      </c>
      <c r="M6" s="16">
        <v>-1.6</v>
      </c>
      <c r="N6" s="15">
        <v>0</v>
      </c>
      <c r="O6" s="13">
        <v>0</v>
      </c>
      <c r="P6" s="16">
        <v>-1.6</v>
      </c>
      <c r="Q6" s="16">
        <v>-1.7</v>
      </c>
      <c r="R6" s="16">
        <v>-1.7</v>
      </c>
      <c r="S6" s="16">
        <v>-1.6</v>
      </c>
      <c r="T6" s="15">
        <v>0</v>
      </c>
      <c r="U6" s="13">
        <v>0</v>
      </c>
      <c r="V6" s="16">
        <v>-2</v>
      </c>
      <c r="W6" s="16">
        <v>-2</v>
      </c>
      <c r="X6" s="16">
        <v>-2</v>
      </c>
      <c r="Y6" s="16">
        <v>-2</v>
      </c>
      <c r="Z6" s="15">
        <v>0</v>
      </c>
      <c r="AA6" s="16">
        <v>0</v>
      </c>
      <c r="AB6" s="16">
        <v>-2</v>
      </c>
      <c r="AC6" s="16">
        <v>-2</v>
      </c>
      <c r="AD6" s="16">
        <v>-2</v>
      </c>
      <c r="AE6" s="16">
        <v>-2</v>
      </c>
      <c r="AF6" s="17">
        <v>0</v>
      </c>
      <c r="AG6" s="16" t="s">
        <v>9</v>
      </c>
      <c r="AH6" s="75">
        <f>AG14</f>
        <v>3.19</v>
      </c>
      <c r="AI6" s="75">
        <f t="shared" si="0"/>
        <v>3.681</v>
      </c>
      <c r="AJ6" s="75">
        <f t="shared" si="0"/>
        <v>4.3049999999999997</v>
      </c>
      <c r="AK6" s="75">
        <f t="shared" si="0"/>
        <v>4.3049999999999997</v>
      </c>
      <c r="AL6" s="75">
        <f t="shared" si="0"/>
        <v>4.4800000000000004</v>
      </c>
      <c r="AM6" s="73">
        <f>(AH6+AH5)/2 *$AA$7</f>
        <v>5.9849999999999994</v>
      </c>
      <c r="AN6" s="73">
        <f>(AI6+AI5)/2 *$AA$7</f>
        <v>6.7309999999999999</v>
      </c>
      <c r="AO6" s="73">
        <f>(AJ6+AJ5)/2 *$AA$7</f>
        <v>8.3449999999999989</v>
      </c>
      <c r="AP6" s="73">
        <f>(AK6+AK5)/2 *$AA$7</f>
        <v>9.1050000000000004</v>
      </c>
      <c r="AQ6" s="73">
        <f>(AL6+AL5)/2 *$AA$7</f>
        <v>9.2800000000000011</v>
      </c>
      <c r="AR6" s="82"/>
      <c r="AS6" s="16" t="s">
        <v>9</v>
      </c>
      <c r="AT6" s="82">
        <f>AF8-AA8</f>
        <v>2.6</v>
      </c>
      <c r="AU6" s="82"/>
      <c r="AV6" t="s">
        <v>14</v>
      </c>
      <c r="AW6">
        <v>4.9000000000000004</v>
      </c>
      <c r="AX6" s="100">
        <v>97.639239366666658</v>
      </c>
      <c r="AY6">
        <v>-4.7</v>
      </c>
      <c r="AZ6">
        <v>9</v>
      </c>
      <c r="BA6">
        <v>-2.0099999999999998</v>
      </c>
    </row>
    <row r="7" spans="1:53" ht="15.75" thickBot="1" x14ac:dyDescent="0.3">
      <c r="A7" s="221"/>
      <c r="B7" s="18" t="s">
        <v>12</v>
      </c>
      <c r="C7" s="19"/>
      <c r="D7" s="25"/>
      <c r="E7" s="25"/>
      <c r="F7" s="25"/>
      <c r="G7" s="25"/>
      <c r="H7" s="21"/>
      <c r="I7" s="22"/>
      <c r="J7" s="25"/>
      <c r="K7" s="25"/>
      <c r="L7" s="25"/>
      <c r="M7" s="25"/>
      <c r="N7" s="24"/>
      <c r="O7" s="22"/>
      <c r="P7" s="25"/>
      <c r="Q7" s="25"/>
      <c r="R7" s="25"/>
      <c r="S7" s="25"/>
      <c r="T7" s="24"/>
      <c r="U7" s="22"/>
      <c r="V7" s="25"/>
      <c r="W7" s="25"/>
      <c r="X7" s="25"/>
      <c r="Y7" s="25"/>
      <c r="Z7" s="24"/>
      <c r="AA7" s="25">
        <v>2</v>
      </c>
      <c r="AB7" s="25"/>
      <c r="AC7" s="25"/>
      <c r="AD7" s="25"/>
      <c r="AE7" s="25"/>
      <c r="AF7" s="26"/>
      <c r="AG7" t="s">
        <v>86</v>
      </c>
      <c r="AH7" s="76">
        <f>SUM(AH5:AH6)</f>
        <v>5.9849999999999994</v>
      </c>
      <c r="AI7" s="76">
        <f>SUM(AI5:AI6)</f>
        <v>6.7309999999999999</v>
      </c>
      <c r="AJ7" s="76">
        <f>SUM(AJ5:AJ6)</f>
        <v>8.3449999999999989</v>
      </c>
      <c r="AK7" s="76">
        <f>SUM(AK5:AK6)</f>
        <v>9.1050000000000004</v>
      </c>
      <c r="AL7" s="76">
        <f>SUM(AL5:AL6)</f>
        <v>9.2800000000000011</v>
      </c>
      <c r="AM7" s="73">
        <f>AM5+AM6</f>
        <v>5.9849999999999994</v>
      </c>
      <c r="AN7" s="73">
        <f>AN5+AN6</f>
        <v>6.7309999999999999</v>
      </c>
      <c r="AO7" s="73">
        <f>AO5+AO6</f>
        <v>8.3449999999999989</v>
      </c>
      <c r="AP7" s="73">
        <f>AP5+AP6</f>
        <v>9.1050000000000004</v>
      </c>
      <c r="AQ7" s="73">
        <f>AQ5+AQ6</f>
        <v>9.2800000000000011</v>
      </c>
      <c r="AR7" s="82">
        <v>10</v>
      </c>
      <c r="AS7" s="82"/>
      <c r="AT7" s="82"/>
      <c r="AU7" s="82"/>
      <c r="AV7" t="s">
        <v>15</v>
      </c>
      <c r="AW7">
        <v>7.4</v>
      </c>
      <c r="AX7" s="100">
        <v>100.22718749999999</v>
      </c>
      <c r="AY7">
        <v>-4.7</v>
      </c>
      <c r="AZ7">
        <v>12</v>
      </c>
      <c r="BA7">
        <v>-2.42</v>
      </c>
    </row>
    <row r="8" spans="1:53" x14ac:dyDescent="0.25">
      <c r="A8" s="219" t="s">
        <v>13</v>
      </c>
      <c r="B8" s="12" t="s">
        <v>10</v>
      </c>
      <c r="C8" s="111">
        <v>-1.1000000000000001</v>
      </c>
      <c r="D8" s="131">
        <v>-1.1000000000000001</v>
      </c>
      <c r="E8" s="131">
        <v>-0.5</v>
      </c>
      <c r="F8" s="131">
        <v>0.5</v>
      </c>
      <c r="G8" s="131">
        <v>0.9</v>
      </c>
      <c r="H8" s="29">
        <v>0.89999999999999991</v>
      </c>
      <c r="I8" s="31">
        <v>-1.3</v>
      </c>
      <c r="J8" s="131">
        <v>-1.3</v>
      </c>
      <c r="K8" s="131">
        <v>-0.5</v>
      </c>
      <c r="L8" s="131">
        <v>0.5</v>
      </c>
      <c r="M8" s="131">
        <v>0.85</v>
      </c>
      <c r="N8" s="32">
        <v>1.0799999999999998</v>
      </c>
      <c r="O8" s="31">
        <v>-1.3</v>
      </c>
      <c r="P8" s="131">
        <v>-1.3</v>
      </c>
      <c r="Q8" s="131">
        <v>-0.6</v>
      </c>
      <c r="R8" s="131">
        <v>0.6</v>
      </c>
      <c r="S8" s="131">
        <v>1</v>
      </c>
      <c r="T8" s="32">
        <v>1.1299999999999999</v>
      </c>
      <c r="U8" s="31">
        <v>-1.3</v>
      </c>
      <c r="V8" s="131">
        <v>-1.3</v>
      </c>
      <c r="W8" s="131">
        <v>-0.6</v>
      </c>
      <c r="X8" s="131">
        <v>0.6</v>
      </c>
      <c r="Y8" s="131">
        <v>1</v>
      </c>
      <c r="Z8" s="32">
        <v>1.1299999999999999</v>
      </c>
      <c r="AA8" s="16">
        <v>-1.3</v>
      </c>
      <c r="AB8" s="111">
        <v>-1.3</v>
      </c>
      <c r="AC8" s="111">
        <v>-0.6</v>
      </c>
      <c r="AD8" s="111">
        <v>0.6</v>
      </c>
      <c r="AE8" s="111">
        <v>1.1000000000000001</v>
      </c>
      <c r="AF8" s="29">
        <v>1.3</v>
      </c>
      <c r="AG8" s="16"/>
      <c r="AL8" s="64">
        <f>AL7-AH7</f>
        <v>3.2950000000000017</v>
      </c>
      <c r="AM8" s="73"/>
      <c r="AN8" s="82"/>
      <c r="AO8" s="82"/>
      <c r="AP8" s="82"/>
      <c r="AQ8" s="83">
        <f>AQ7-AM7</f>
        <v>3.2950000000000017</v>
      </c>
      <c r="AR8" s="82">
        <v>3.7100000000000009</v>
      </c>
      <c r="AS8" s="82"/>
      <c r="AT8" s="82"/>
      <c r="AU8" s="82"/>
      <c r="AV8" t="s">
        <v>16</v>
      </c>
      <c r="AW8">
        <v>15.4</v>
      </c>
      <c r="AX8" s="100">
        <v>366.79775999999987</v>
      </c>
      <c r="AY8">
        <v>-3.7</v>
      </c>
      <c r="AZ8">
        <v>12</v>
      </c>
    </row>
    <row r="9" spans="1:53" x14ac:dyDescent="0.25">
      <c r="A9" s="220"/>
      <c r="B9" s="12" t="s">
        <v>11</v>
      </c>
      <c r="C9" s="30">
        <v>0</v>
      </c>
      <c r="D9" s="131">
        <v>-1.6</v>
      </c>
      <c r="E9" s="131">
        <v>-1.7</v>
      </c>
      <c r="F9" s="131">
        <v>-1.7</v>
      </c>
      <c r="G9" s="131">
        <v>-0.8</v>
      </c>
      <c r="H9" s="32">
        <v>0</v>
      </c>
      <c r="I9" s="30">
        <v>0</v>
      </c>
      <c r="J9" s="131">
        <v>-1.8</v>
      </c>
      <c r="K9" s="131">
        <v>-1.8</v>
      </c>
      <c r="L9" s="131">
        <v>-1.6</v>
      </c>
      <c r="M9" s="131">
        <v>-0.9</v>
      </c>
      <c r="N9" s="32">
        <v>0</v>
      </c>
      <c r="O9" s="30">
        <v>0</v>
      </c>
      <c r="P9" s="131">
        <v>-2</v>
      </c>
      <c r="Q9" s="131">
        <v>-2</v>
      </c>
      <c r="R9" s="131">
        <v>-1.8</v>
      </c>
      <c r="S9" s="131">
        <v>-1</v>
      </c>
      <c r="T9" s="32">
        <v>0</v>
      </c>
      <c r="U9" s="30">
        <v>0</v>
      </c>
      <c r="V9" s="131">
        <v>-2</v>
      </c>
      <c r="W9" s="131">
        <v>-2</v>
      </c>
      <c r="X9" s="131">
        <v>-1.8</v>
      </c>
      <c r="Y9" s="131">
        <v>-1</v>
      </c>
      <c r="Z9" s="32">
        <v>0</v>
      </c>
      <c r="AA9" s="16">
        <v>0</v>
      </c>
      <c r="AB9" s="111">
        <v>-2</v>
      </c>
      <c r="AC9" s="111">
        <v>-2</v>
      </c>
      <c r="AD9" s="111">
        <v>-1.8</v>
      </c>
      <c r="AE9" s="111">
        <v>-1</v>
      </c>
      <c r="AF9" s="29">
        <v>0</v>
      </c>
      <c r="AG9" s="16"/>
      <c r="AH9" s="78" t="s">
        <v>77</v>
      </c>
      <c r="AI9" s="74"/>
      <c r="AJ9" s="74">
        <v>0</v>
      </c>
      <c r="AK9" s="74"/>
      <c r="AL9" s="75"/>
      <c r="AM9" s="73"/>
      <c r="AN9" s="82"/>
      <c r="AO9" s="82"/>
      <c r="AP9" s="82"/>
      <c r="AQ9" s="83"/>
      <c r="AR9" s="82"/>
      <c r="AS9" s="82"/>
      <c r="AT9" s="82"/>
      <c r="AU9" s="82"/>
      <c r="AV9" t="s">
        <v>17</v>
      </c>
      <c r="AW9">
        <v>20.8</v>
      </c>
      <c r="AX9" s="100">
        <v>142.83234872999989</v>
      </c>
      <c r="AY9">
        <v>-1.6</v>
      </c>
      <c r="AZ9">
        <v>5.7</v>
      </c>
    </row>
    <row r="10" spans="1:53" ht="15.75" thickBot="1" x14ac:dyDescent="0.3">
      <c r="A10" s="221"/>
      <c r="B10" s="12" t="s">
        <v>12</v>
      </c>
      <c r="C10" s="27"/>
      <c r="D10" s="111"/>
      <c r="E10" s="111"/>
      <c r="F10" s="111"/>
      <c r="G10" s="111"/>
      <c r="H10" s="29"/>
      <c r="I10" s="30"/>
      <c r="J10" s="31"/>
      <c r="K10" s="31"/>
      <c r="L10" s="31"/>
      <c r="M10" s="31"/>
      <c r="N10" s="32"/>
      <c r="O10" s="30"/>
      <c r="P10" s="31"/>
      <c r="Q10" s="31"/>
      <c r="R10" s="31"/>
      <c r="S10" s="31"/>
      <c r="T10" s="32"/>
      <c r="U10" s="30"/>
      <c r="V10" s="31"/>
      <c r="W10" s="31"/>
      <c r="X10" s="31"/>
      <c r="Y10" s="31"/>
      <c r="Z10" s="32"/>
      <c r="AA10" s="16">
        <v>0</v>
      </c>
      <c r="AB10" s="111"/>
      <c r="AC10" s="111"/>
      <c r="AD10" s="111"/>
      <c r="AE10" s="111"/>
      <c r="AF10" s="29"/>
      <c r="AG10" s="16"/>
      <c r="AH10" t="s">
        <v>79</v>
      </c>
      <c r="AJ10">
        <f>(AD6+AD9)/2</f>
        <v>-1.9</v>
      </c>
      <c r="AK10" s="74"/>
      <c r="AL10" s="75"/>
      <c r="AM10" s="54"/>
      <c r="AN10" s="82"/>
      <c r="AO10" s="82"/>
      <c r="AP10" s="82"/>
      <c r="AQ10" s="83"/>
      <c r="AR10" s="82"/>
      <c r="AS10" s="82"/>
      <c r="AT10" s="82"/>
      <c r="AU10" s="82"/>
      <c r="AV10" t="s">
        <v>18</v>
      </c>
      <c r="AW10">
        <v>30.8</v>
      </c>
      <c r="AX10" s="100">
        <v>70.801949500000006</v>
      </c>
      <c r="AY10">
        <v>-1.7</v>
      </c>
      <c r="AZ10">
        <v>3.2</v>
      </c>
      <c r="BA10">
        <v>-2.5099999999999998</v>
      </c>
    </row>
    <row r="12" spans="1:53" x14ac:dyDescent="0.25">
      <c r="A12" s="47"/>
      <c r="B12" s="63"/>
      <c r="AC12" s="162"/>
      <c r="AD12" s="162"/>
      <c r="AE12" s="162"/>
      <c r="AF12" s="168"/>
      <c r="AK12" s="168"/>
    </row>
    <row r="13" spans="1:53" ht="14.25" customHeight="1" x14ac:dyDescent="0.25">
      <c r="A13" s="47"/>
      <c r="B13" s="63"/>
      <c r="C13">
        <f>(C5*D6)-(C6*D5)</f>
        <v>1.7600000000000002</v>
      </c>
      <c r="D13">
        <f t="shared" ref="D13:Y13" si="1">(D5*E6)-(D6*E5)</f>
        <v>0.27</v>
      </c>
      <c r="E13">
        <f t="shared" si="1"/>
        <v>2.5499999999999998</v>
      </c>
      <c r="F13">
        <f t="shared" si="1"/>
        <v>4.9999999999999933E-2</v>
      </c>
      <c r="G13">
        <f t="shared" si="1"/>
        <v>0.95999999999999985</v>
      </c>
      <c r="H13">
        <f>(H5*C6)-(H6*C5)</f>
        <v>0</v>
      </c>
      <c r="I13">
        <f t="shared" si="1"/>
        <v>1.92</v>
      </c>
      <c r="J13">
        <f t="shared" si="1"/>
        <v>0.12000000000000011</v>
      </c>
      <c r="K13">
        <f t="shared" si="1"/>
        <v>2.89</v>
      </c>
      <c r="L13">
        <f t="shared" si="1"/>
        <v>4.9999999999999933E-2</v>
      </c>
      <c r="M13">
        <f t="shared" si="1"/>
        <v>1.1199999999999999</v>
      </c>
      <c r="N13">
        <f>(N5*I6)-(N6*I5)</f>
        <v>0</v>
      </c>
      <c r="O13">
        <f t="shared" si="1"/>
        <v>1.92</v>
      </c>
      <c r="P13">
        <f t="shared" si="1"/>
        <v>0.12000000000000011</v>
      </c>
      <c r="Q13">
        <f t="shared" si="1"/>
        <v>4.08</v>
      </c>
      <c r="R13">
        <f t="shared" si="1"/>
        <v>0.12000000000000011</v>
      </c>
      <c r="S13">
        <f t="shared" si="1"/>
        <v>1.8399999999999999</v>
      </c>
      <c r="T13">
        <f>(T5*O6)-(T6*O5)</f>
        <v>0</v>
      </c>
      <c r="U13">
        <f t="shared" si="1"/>
        <v>2.4</v>
      </c>
      <c r="V13">
        <f t="shared" si="1"/>
        <v>0</v>
      </c>
      <c r="W13">
        <f t="shared" si="1"/>
        <v>4.8</v>
      </c>
      <c r="X13">
        <f t="shared" si="1"/>
        <v>0</v>
      </c>
      <c r="Y13">
        <f t="shared" si="1"/>
        <v>2.4</v>
      </c>
      <c r="Z13">
        <f>(Z5*U6)-(Z6*U5)</f>
        <v>0</v>
      </c>
      <c r="AA13">
        <f>(AA5*AB6)-(AA6*AB5)</f>
        <v>2.4</v>
      </c>
      <c r="AB13">
        <f>(AB5*AC6)-(AB6*AC5)</f>
        <v>0</v>
      </c>
      <c r="AC13">
        <f>(AC5*AD6)-(AC6*AD5)</f>
        <v>4.8</v>
      </c>
      <c r="AD13">
        <f>(AD5*AE6)-(AD6*AE5)</f>
        <v>0</v>
      </c>
      <c r="AE13">
        <f>(AE5*AF6)-(AE6*AF5)</f>
        <v>2.4</v>
      </c>
      <c r="AF13">
        <f>(AF5*AA6)-(AF6*AA5)</f>
        <v>0</v>
      </c>
      <c r="AG13" s="162">
        <f>ABS(SUM(C13:H13))/2</f>
        <v>2.7949999999999999</v>
      </c>
      <c r="AH13" s="162">
        <f>ABS(SUM(I13:N13))/2</f>
        <v>3.05</v>
      </c>
      <c r="AI13" s="162">
        <f>ABS(SUM(O13:T13))/2</f>
        <v>4.04</v>
      </c>
      <c r="AJ13" s="168">
        <f>ABS(SUM(U13:Z13))/2</f>
        <v>4.8</v>
      </c>
      <c r="AK13" s="168">
        <f>ABS(SUM(AA13:AF13))/2</f>
        <v>4.8</v>
      </c>
    </row>
    <row r="14" spans="1:53" x14ac:dyDescent="0.25">
      <c r="A14" s="47"/>
      <c r="B14" s="63"/>
      <c r="C14">
        <f>(C8*D9)-(C9*D8)</f>
        <v>1.7600000000000002</v>
      </c>
      <c r="D14">
        <f t="shared" ref="D14:Y14" si="2">(D8*E9)-(D9*E8)</f>
        <v>1.07</v>
      </c>
      <c r="E14">
        <f t="shared" si="2"/>
        <v>1.7</v>
      </c>
      <c r="F14">
        <f t="shared" si="2"/>
        <v>1.1299999999999999</v>
      </c>
      <c r="G14">
        <f t="shared" si="2"/>
        <v>0.72</v>
      </c>
      <c r="H14">
        <f>(H8*C9)-(H9*C8)</f>
        <v>0</v>
      </c>
      <c r="I14">
        <f t="shared" si="2"/>
        <v>2.3400000000000003</v>
      </c>
      <c r="J14">
        <f t="shared" si="2"/>
        <v>1.4400000000000004</v>
      </c>
      <c r="K14">
        <f t="shared" si="2"/>
        <v>1.7000000000000002</v>
      </c>
      <c r="L14">
        <f t="shared" si="2"/>
        <v>0.91000000000000014</v>
      </c>
      <c r="M14">
        <f t="shared" si="2"/>
        <v>0.97199999999999986</v>
      </c>
      <c r="N14">
        <f>(N8*I9)-(N9*I8)</f>
        <v>0</v>
      </c>
      <c r="O14">
        <f t="shared" si="2"/>
        <v>2.6</v>
      </c>
      <c r="P14">
        <f t="shared" si="2"/>
        <v>1.4000000000000001</v>
      </c>
      <c r="Q14">
        <f t="shared" si="2"/>
        <v>2.2800000000000002</v>
      </c>
      <c r="R14">
        <f t="shared" si="2"/>
        <v>1.2000000000000002</v>
      </c>
      <c r="S14">
        <f t="shared" si="2"/>
        <v>1.1299999999999999</v>
      </c>
      <c r="T14">
        <f>(T8*O9)-(T9*O8)</f>
        <v>0</v>
      </c>
      <c r="U14">
        <f t="shared" si="2"/>
        <v>2.6</v>
      </c>
      <c r="V14">
        <f t="shared" si="2"/>
        <v>1.4000000000000001</v>
      </c>
      <c r="W14">
        <f t="shared" si="2"/>
        <v>2.2800000000000002</v>
      </c>
      <c r="X14">
        <f t="shared" si="2"/>
        <v>1.2000000000000002</v>
      </c>
      <c r="Y14">
        <f t="shared" si="2"/>
        <v>1.1299999999999999</v>
      </c>
      <c r="Z14">
        <f>(Z8*U9)-(Z9*U8)</f>
        <v>0</v>
      </c>
      <c r="AA14">
        <f>(AA8*AB9)-(AA9*AB8)</f>
        <v>2.6</v>
      </c>
      <c r="AB14">
        <f>(AB8*AC9)-(AB9*AC8)</f>
        <v>1.4000000000000001</v>
      </c>
      <c r="AC14">
        <f>(AC8*AD9)-(AC9*AD8)</f>
        <v>2.2800000000000002</v>
      </c>
      <c r="AD14">
        <f>(AD8*AE9)-(AD9*AE8)</f>
        <v>1.3800000000000003</v>
      </c>
      <c r="AE14">
        <f>(AE8*AF9)-(AE9*AF8)</f>
        <v>1.3</v>
      </c>
      <c r="AF14">
        <f>(AF8*AA9)-(AF9*AA8)</f>
        <v>0</v>
      </c>
      <c r="AG14" s="162">
        <f>ABS(SUM(C14:H14))/2</f>
        <v>3.19</v>
      </c>
      <c r="AH14" s="162">
        <f>ABS(SUM(I14:N14))/2</f>
        <v>3.681</v>
      </c>
      <c r="AI14" s="162">
        <f>ABS(SUM(O14:T14))/2</f>
        <v>4.3049999999999997</v>
      </c>
      <c r="AJ14" s="168">
        <f>ABS(SUM(U14:Z14))/2</f>
        <v>4.3049999999999997</v>
      </c>
      <c r="AK14" s="168">
        <f>ABS(SUM(AA14:AF14))/2</f>
        <v>4.4800000000000004</v>
      </c>
    </row>
    <row r="16" spans="1:53" x14ac:dyDescent="0.25">
      <c r="C16" s="47">
        <f>F3</f>
        <v>41453</v>
      </c>
      <c r="D16" s="47">
        <f>K3</f>
        <v>41478</v>
      </c>
      <c r="E16" s="47">
        <f>Q3</f>
        <v>41491</v>
      </c>
      <c r="F16" s="47">
        <f>W3</f>
        <v>41499</v>
      </c>
      <c r="G16" s="47">
        <f>AC3</f>
        <v>41516</v>
      </c>
    </row>
    <row r="17" spans="2:7" x14ac:dyDescent="0.25">
      <c r="B17" t="s">
        <v>10</v>
      </c>
      <c r="C17">
        <f>H5-C5</f>
        <v>1.7</v>
      </c>
      <c r="D17">
        <f>N5-I5</f>
        <v>1.9</v>
      </c>
      <c r="E17">
        <f>T5-O5</f>
        <v>2.3499999999999996</v>
      </c>
      <c r="F17">
        <f>Z5-U5</f>
        <v>2.4</v>
      </c>
      <c r="G17">
        <f>AF5-AA5</f>
        <v>2.4</v>
      </c>
    </row>
    <row r="18" spans="2:7" x14ac:dyDescent="0.25">
      <c r="B18" t="s">
        <v>11</v>
      </c>
      <c r="C18">
        <f>F6</f>
        <v>-1.7</v>
      </c>
      <c r="D18">
        <f>L6</f>
        <v>-1.7</v>
      </c>
      <c r="E18">
        <f>R6</f>
        <v>-1.7</v>
      </c>
      <c r="F18">
        <f>W6</f>
        <v>-2</v>
      </c>
      <c r="G18">
        <f>AC6</f>
        <v>-2</v>
      </c>
    </row>
    <row r="19" spans="2:7" x14ac:dyDescent="0.25">
      <c r="B19" t="s">
        <v>12</v>
      </c>
      <c r="C19">
        <v>2</v>
      </c>
      <c r="D19">
        <v>2</v>
      </c>
      <c r="E19">
        <v>2</v>
      </c>
      <c r="F19">
        <v>2</v>
      </c>
      <c r="G19">
        <v>2</v>
      </c>
    </row>
  </sheetData>
  <mergeCells count="4">
    <mergeCell ref="AH2:AL2"/>
    <mergeCell ref="AM2:AQ2"/>
    <mergeCell ref="A5:A7"/>
    <mergeCell ref="A8:A10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9"/>
  <sheetViews>
    <sheetView topLeftCell="Y1" zoomScale="75" zoomScaleNormal="75" workbookViewId="0">
      <selection activeCell="AS5" sqref="AS5:AU6"/>
    </sheetView>
  </sheetViews>
  <sheetFormatPr defaultRowHeight="15" x14ac:dyDescent="0.25"/>
  <cols>
    <col min="3" max="3" width="10.85546875" bestFit="1" customWidth="1"/>
    <col min="4" max="4" width="9.28515625" bestFit="1" customWidth="1"/>
    <col min="5" max="6" width="10.85546875" bestFit="1" customWidth="1"/>
    <col min="7" max="8" width="9.28515625" bestFit="1" customWidth="1"/>
    <col min="9" max="14" width="9.28515625" customWidth="1"/>
    <col min="15" max="16" width="9.28515625" bestFit="1" customWidth="1"/>
    <col min="17" max="17" width="9.7109375" bestFit="1" customWidth="1"/>
    <col min="18" max="22" width="9.28515625" bestFit="1" customWidth="1"/>
    <col min="23" max="23" width="9.7109375" bestFit="1" customWidth="1"/>
    <col min="24" max="27" width="9.28515625" bestFit="1" customWidth="1"/>
    <col min="29" max="29" width="10.85546875" bestFit="1" customWidth="1"/>
    <col min="40" max="40" width="10.85546875" bestFit="1" customWidth="1"/>
    <col min="41" max="42" width="9.7109375" bestFit="1" customWidth="1"/>
  </cols>
  <sheetData>
    <row r="1" spans="1:53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I1" s="47">
        <v>41453</v>
      </c>
      <c r="AJ1" s="47">
        <v>41491</v>
      </c>
      <c r="AK1" s="47">
        <v>41495</v>
      </c>
      <c r="AL1" s="47">
        <v>41517</v>
      </c>
    </row>
    <row r="2" spans="1:53" ht="15.75" thickBot="1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165"/>
      <c r="AS2" s="205"/>
      <c r="AT2" s="205"/>
      <c r="AU2" s="205"/>
      <c r="AV2" s="3"/>
      <c r="AW2" s="3"/>
      <c r="AX2" s="3"/>
      <c r="AY2" s="3"/>
      <c r="AZ2" s="3"/>
      <c r="BA2" s="3"/>
    </row>
    <row r="3" spans="1:53" x14ac:dyDescent="0.25">
      <c r="C3" s="1"/>
      <c r="D3" s="2"/>
      <c r="E3" s="47">
        <v>41453</v>
      </c>
      <c r="F3" s="2"/>
      <c r="G3" s="2"/>
      <c r="J3" s="47">
        <v>41478</v>
      </c>
      <c r="O3" s="2"/>
      <c r="Q3" s="47">
        <v>41491</v>
      </c>
      <c r="U3" s="2"/>
      <c r="W3" s="47">
        <v>41499</v>
      </c>
      <c r="AC3" s="47">
        <v>41516</v>
      </c>
      <c r="AI3" s="103">
        <v>41453</v>
      </c>
      <c r="AJ3" s="105">
        <v>41491</v>
      </c>
      <c r="AK3" s="105">
        <v>41495</v>
      </c>
      <c r="AL3" s="106">
        <v>41516</v>
      </c>
      <c r="AN3" s="103">
        <v>41453</v>
      </c>
      <c r="AO3" s="105">
        <v>41491</v>
      </c>
      <c r="AP3" s="105">
        <v>41495</v>
      </c>
      <c r="AQ3" s="106" t="s">
        <v>2</v>
      </c>
      <c r="AR3" s="171"/>
      <c r="AS3" s="171"/>
      <c r="AT3" s="171"/>
      <c r="AU3" s="171"/>
      <c r="AV3" s="1"/>
      <c r="AW3" t="s">
        <v>50</v>
      </c>
      <c r="AX3" t="s">
        <v>42</v>
      </c>
      <c r="AY3" t="s">
        <v>54</v>
      </c>
      <c r="AZ3" t="s">
        <v>55</v>
      </c>
      <c r="BA3" t="s">
        <v>59</v>
      </c>
    </row>
    <row r="4" spans="1:53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/>
      <c r="J4" s="4"/>
      <c r="K4" s="4"/>
      <c r="L4" s="4"/>
      <c r="M4" s="4"/>
      <c r="N4" s="4"/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I4" s="70" t="s">
        <v>31</v>
      </c>
      <c r="AJ4" s="71" t="s">
        <v>32</v>
      </c>
      <c r="AK4" s="71" t="s">
        <v>33</v>
      </c>
      <c r="AL4" s="71" t="s">
        <v>34</v>
      </c>
      <c r="AN4" s="70" t="s">
        <v>37</v>
      </c>
      <c r="AO4" s="71" t="s">
        <v>38</v>
      </c>
      <c r="AP4" s="71" t="s">
        <v>39</v>
      </c>
      <c r="AQ4" s="71" t="s">
        <v>40</v>
      </c>
      <c r="AR4" s="71"/>
      <c r="AS4" s="71"/>
      <c r="AT4" s="71" t="s">
        <v>10</v>
      </c>
      <c r="AU4" s="71" t="s">
        <v>12</v>
      </c>
      <c r="AV4" t="s">
        <v>9</v>
      </c>
      <c r="AW4">
        <v>0</v>
      </c>
      <c r="AY4">
        <v>-5.0999999999999996</v>
      </c>
      <c r="AZ4">
        <v>11.5</v>
      </c>
    </row>
    <row r="5" spans="1:53" x14ac:dyDescent="0.25">
      <c r="A5" s="219" t="s">
        <v>13</v>
      </c>
      <c r="B5" s="5" t="s">
        <v>10</v>
      </c>
      <c r="C5" s="10">
        <v>-1</v>
      </c>
      <c r="D5" s="10">
        <v>-1</v>
      </c>
      <c r="E5" s="10">
        <v>-1</v>
      </c>
      <c r="F5" s="10">
        <v>1.1000000000000001</v>
      </c>
      <c r="G5" s="10">
        <v>1.1000000000000001</v>
      </c>
      <c r="H5" s="10">
        <v>1.1000000000000001</v>
      </c>
      <c r="I5" s="10">
        <v>-1</v>
      </c>
      <c r="J5" s="10">
        <v>-1</v>
      </c>
      <c r="K5" s="10">
        <v>-1</v>
      </c>
      <c r="L5" s="10">
        <v>1.1000000000000001</v>
      </c>
      <c r="M5" s="10">
        <v>1.1000000000000001</v>
      </c>
      <c r="N5" s="10">
        <v>1.1000000000000001</v>
      </c>
      <c r="O5" s="10">
        <v>-1</v>
      </c>
      <c r="P5" s="10">
        <v>-1</v>
      </c>
      <c r="Q5" s="10">
        <v>-1</v>
      </c>
      <c r="R5" s="10">
        <v>1.2</v>
      </c>
      <c r="S5" s="10">
        <v>1.2</v>
      </c>
      <c r="T5" s="10">
        <v>1.2</v>
      </c>
      <c r="U5" s="10">
        <v>-1.2</v>
      </c>
      <c r="V5" s="10">
        <v>-1.2</v>
      </c>
      <c r="W5" s="10">
        <v>-1.2</v>
      </c>
      <c r="X5" s="10">
        <v>1.3</v>
      </c>
      <c r="Y5" s="10">
        <v>1.3</v>
      </c>
      <c r="Z5" s="11">
        <v>1.3</v>
      </c>
      <c r="AA5" s="10">
        <v>-1.2</v>
      </c>
      <c r="AB5" s="10">
        <v>-1.2</v>
      </c>
      <c r="AC5" s="10">
        <v>-1.2</v>
      </c>
      <c r="AD5" s="10">
        <v>1.3</v>
      </c>
      <c r="AE5" s="10">
        <v>1.3</v>
      </c>
      <c r="AF5" s="11">
        <v>1.3</v>
      </c>
      <c r="AG5" s="16" t="s">
        <v>13</v>
      </c>
      <c r="AH5" s="73"/>
      <c r="AI5" s="74">
        <f>AH13</f>
        <v>2.3100000000000005</v>
      </c>
      <c r="AJ5" s="74">
        <f t="shared" ref="AJ5:AL6" si="0">AI13</f>
        <v>2.8600000000000003</v>
      </c>
      <c r="AK5" s="74">
        <f t="shared" si="0"/>
        <v>3.2500000000000004</v>
      </c>
      <c r="AL5" s="74">
        <f t="shared" si="0"/>
        <v>3.5</v>
      </c>
      <c r="AM5" s="78"/>
      <c r="AN5" s="49"/>
      <c r="AO5" s="49"/>
      <c r="AP5" s="49"/>
      <c r="AQ5" s="81"/>
      <c r="AR5" s="49"/>
      <c r="AS5" s="16" t="s">
        <v>13</v>
      </c>
      <c r="AT5" s="49">
        <f>AF5-AA5</f>
        <v>2.5</v>
      </c>
      <c r="AU5" s="49">
        <f>AA7</f>
        <v>1.5</v>
      </c>
      <c r="AV5" t="s">
        <v>13</v>
      </c>
      <c r="AW5">
        <v>2.4</v>
      </c>
      <c r="AX5" s="100">
        <v>99.397579792000016</v>
      </c>
      <c r="AY5">
        <v>-5.0999999999999996</v>
      </c>
      <c r="AZ5">
        <v>11.6</v>
      </c>
    </row>
    <row r="6" spans="1:53" x14ac:dyDescent="0.25">
      <c r="A6" s="220"/>
      <c r="B6" s="12" t="s">
        <v>11</v>
      </c>
      <c r="C6" s="16">
        <v>0</v>
      </c>
      <c r="D6" s="16">
        <v>-1.1000000000000001</v>
      </c>
      <c r="E6" s="16">
        <v>-1.1000000000000001</v>
      </c>
      <c r="F6" s="16">
        <v>-1.1000000000000001</v>
      </c>
      <c r="G6" s="16">
        <v>-1.1000000000000001</v>
      </c>
      <c r="H6" s="17">
        <v>0</v>
      </c>
      <c r="I6" s="16">
        <v>0</v>
      </c>
      <c r="J6" s="16">
        <v>-1.1000000000000001</v>
      </c>
      <c r="K6" s="16">
        <v>-1.1000000000000001</v>
      </c>
      <c r="L6" s="16">
        <v>-1.1000000000000001</v>
      </c>
      <c r="M6" s="16">
        <v>-1.1000000000000001</v>
      </c>
      <c r="N6" s="17">
        <v>0</v>
      </c>
      <c r="O6" s="16">
        <v>0</v>
      </c>
      <c r="P6" s="16">
        <v>-1.3</v>
      </c>
      <c r="Q6" s="16">
        <v>-1.3</v>
      </c>
      <c r="R6" s="16">
        <v>-1.3</v>
      </c>
      <c r="S6" s="16">
        <v>-1.3</v>
      </c>
      <c r="T6" s="17">
        <v>0</v>
      </c>
      <c r="U6" s="16">
        <v>0</v>
      </c>
      <c r="V6" s="16">
        <v>-1.3</v>
      </c>
      <c r="W6" s="16">
        <v>-1.3</v>
      </c>
      <c r="X6" s="16">
        <v>-1.3</v>
      </c>
      <c r="Y6" s="16">
        <v>-1.3</v>
      </c>
      <c r="Z6" s="17">
        <v>0</v>
      </c>
      <c r="AA6" s="16">
        <v>0</v>
      </c>
      <c r="AB6" s="16">
        <v>-1.4</v>
      </c>
      <c r="AC6" s="16">
        <v>-1.4</v>
      </c>
      <c r="AD6" s="16">
        <v>-1.4</v>
      </c>
      <c r="AE6" s="16">
        <v>-1.4</v>
      </c>
      <c r="AF6" s="17">
        <v>0</v>
      </c>
      <c r="AG6" s="16" t="s">
        <v>9</v>
      </c>
      <c r="AH6" s="76"/>
      <c r="AI6" s="74">
        <f>AH14</f>
        <v>9.6750000000000007</v>
      </c>
      <c r="AJ6" s="74">
        <f t="shared" si="0"/>
        <v>9.6750000000000007</v>
      </c>
      <c r="AK6" s="74">
        <f t="shared" si="0"/>
        <v>9.6750000000000007</v>
      </c>
      <c r="AL6" s="74">
        <f t="shared" si="0"/>
        <v>9.7650000000000006</v>
      </c>
      <c r="AN6" s="73">
        <f>(AI5+AI6)/2*$AA$7</f>
        <v>8.9887500000000014</v>
      </c>
      <c r="AO6" s="73">
        <f>(AJ5+AJ6)/2*$AA$7</f>
        <v>9.401250000000001</v>
      </c>
      <c r="AP6" s="73">
        <f>(AK5+AK6)/2*$AA$7</f>
        <v>9.6937500000000014</v>
      </c>
      <c r="AQ6" s="73">
        <f>(AL5+AL6)/2*$AA$7</f>
        <v>9.9487500000000004</v>
      </c>
      <c r="AR6" s="82"/>
      <c r="AS6" s="16" t="s">
        <v>9</v>
      </c>
      <c r="AT6" s="82">
        <f>AF8-AA8</f>
        <v>8.3000000000000007</v>
      </c>
      <c r="AU6" s="82"/>
      <c r="AV6" t="s">
        <v>14</v>
      </c>
      <c r="AW6">
        <v>4.9000000000000004</v>
      </c>
      <c r="AX6" s="100">
        <v>97.639239366666658</v>
      </c>
      <c r="AY6">
        <v>-4.7</v>
      </c>
      <c r="AZ6">
        <v>9</v>
      </c>
      <c r="BA6">
        <v>-2.0099999999999998</v>
      </c>
    </row>
    <row r="7" spans="1:53" ht="15.75" thickBot="1" x14ac:dyDescent="0.3">
      <c r="A7" s="221"/>
      <c r="B7" s="18" t="s">
        <v>12</v>
      </c>
      <c r="C7" s="25">
        <v>1.5</v>
      </c>
      <c r="D7" s="25"/>
      <c r="E7" s="25"/>
      <c r="F7" s="25"/>
      <c r="G7" s="25"/>
      <c r="H7" s="26"/>
      <c r="I7" s="25">
        <v>1.5</v>
      </c>
      <c r="J7" s="25"/>
      <c r="K7" s="25"/>
      <c r="L7" s="25"/>
      <c r="M7" s="25"/>
      <c r="N7" s="26"/>
      <c r="O7" s="25">
        <v>1.5</v>
      </c>
      <c r="P7" s="25"/>
      <c r="Q7" s="25"/>
      <c r="R7" s="25"/>
      <c r="S7" s="25"/>
      <c r="T7" s="26"/>
      <c r="U7" s="25">
        <v>1.5</v>
      </c>
      <c r="V7" s="25"/>
      <c r="W7" s="25"/>
      <c r="X7" s="25"/>
      <c r="Y7" s="25"/>
      <c r="Z7" s="26"/>
      <c r="AA7" s="25">
        <v>1.5</v>
      </c>
      <c r="AB7" s="25"/>
      <c r="AC7" s="25"/>
      <c r="AD7" s="25"/>
      <c r="AE7" s="25"/>
      <c r="AF7" s="26"/>
      <c r="AG7" s="16" t="s">
        <v>86</v>
      </c>
      <c r="AH7" s="76"/>
      <c r="AI7" s="74">
        <f>SUM(AI5:AI6)</f>
        <v>11.985000000000001</v>
      </c>
      <c r="AJ7" s="74">
        <f>SUM(AJ5:AJ6)</f>
        <v>12.535</v>
      </c>
      <c r="AK7" s="74">
        <f>SUM(AK5:AK6)</f>
        <v>12.925000000000001</v>
      </c>
      <c r="AL7" s="74">
        <f>SUM(AL5:AL6)</f>
        <v>13.265000000000001</v>
      </c>
      <c r="AM7" s="73"/>
      <c r="AN7" s="73">
        <f>AN5+AN6</f>
        <v>8.9887500000000014</v>
      </c>
      <c r="AO7" s="73">
        <f>AO5+AO6</f>
        <v>9.401250000000001</v>
      </c>
      <c r="AP7" s="73">
        <f>AP5+AP6</f>
        <v>9.6937500000000014</v>
      </c>
      <c r="AQ7" s="73">
        <f>AQ5+AQ6</f>
        <v>9.9487500000000004</v>
      </c>
      <c r="AR7" s="82">
        <v>10.095000000000001</v>
      </c>
      <c r="AS7" s="82"/>
      <c r="AT7" s="82"/>
      <c r="AU7" s="82"/>
      <c r="AV7" t="s">
        <v>15</v>
      </c>
      <c r="AW7">
        <v>7.4</v>
      </c>
      <c r="AX7" s="100">
        <v>100.22718749999999</v>
      </c>
      <c r="AY7">
        <v>-4.7</v>
      </c>
      <c r="AZ7">
        <v>12</v>
      </c>
      <c r="BA7">
        <v>-2.42</v>
      </c>
    </row>
    <row r="8" spans="1:53" x14ac:dyDescent="0.25">
      <c r="A8" s="219" t="s">
        <v>9</v>
      </c>
      <c r="B8" s="5" t="s">
        <v>10</v>
      </c>
      <c r="C8" s="10">
        <v>-4</v>
      </c>
      <c r="D8" s="34">
        <v>-4</v>
      </c>
      <c r="E8" s="34">
        <v>-4</v>
      </c>
      <c r="F8" s="34">
        <v>4</v>
      </c>
      <c r="G8" s="34">
        <v>4</v>
      </c>
      <c r="H8" s="8">
        <v>4.1500000000000004</v>
      </c>
      <c r="I8" s="10">
        <v>-4</v>
      </c>
      <c r="J8" s="34">
        <v>-4</v>
      </c>
      <c r="K8" s="34">
        <v>-4</v>
      </c>
      <c r="L8" s="34">
        <v>4</v>
      </c>
      <c r="M8" s="34">
        <v>4</v>
      </c>
      <c r="N8" s="8">
        <v>4.1500000000000004</v>
      </c>
      <c r="O8" s="10">
        <v>-4</v>
      </c>
      <c r="P8" s="34">
        <v>-4</v>
      </c>
      <c r="Q8" s="34">
        <v>-4</v>
      </c>
      <c r="R8" s="34">
        <v>4</v>
      </c>
      <c r="S8" s="34">
        <v>4</v>
      </c>
      <c r="T8" s="8">
        <v>4.1500000000000004</v>
      </c>
      <c r="U8" s="10">
        <v>-4</v>
      </c>
      <c r="V8" s="34">
        <v>-4</v>
      </c>
      <c r="W8" s="34">
        <v>-4</v>
      </c>
      <c r="X8" s="34">
        <v>4</v>
      </c>
      <c r="Y8" s="34">
        <v>4</v>
      </c>
      <c r="Z8" s="8">
        <v>4.1500000000000004</v>
      </c>
      <c r="AA8" s="10">
        <v>-4.1500000000000004</v>
      </c>
      <c r="AB8" s="34">
        <v>-4</v>
      </c>
      <c r="AC8" s="34">
        <v>-4</v>
      </c>
      <c r="AD8" s="34">
        <v>4</v>
      </c>
      <c r="AE8" s="34">
        <v>4</v>
      </c>
      <c r="AF8" s="8">
        <v>4.1500000000000004</v>
      </c>
      <c r="AG8" s="16"/>
      <c r="AH8" s="76"/>
      <c r="AL8" s="64">
        <f>AL7-AI7</f>
        <v>1.2799999999999994</v>
      </c>
      <c r="AM8" s="73"/>
      <c r="AN8" s="82"/>
      <c r="AO8" s="82"/>
      <c r="AP8" s="82"/>
      <c r="AQ8" s="83">
        <f>AQ7-AN7</f>
        <v>0.95999999999999908</v>
      </c>
      <c r="AR8" s="82">
        <v>1.0275000000000016</v>
      </c>
      <c r="AS8" s="82"/>
      <c r="AT8" s="82"/>
      <c r="AU8" s="82"/>
      <c r="AV8" t="s">
        <v>16</v>
      </c>
      <c r="AW8">
        <v>15.4</v>
      </c>
      <c r="AX8" s="100">
        <v>366.79775999999987</v>
      </c>
      <c r="AY8">
        <v>-3.7</v>
      </c>
      <c r="AZ8">
        <v>12</v>
      </c>
    </row>
    <row r="9" spans="1:53" x14ac:dyDescent="0.25">
      <c r="A9" s="220"/>
      <c r="B9" s="12" t="s">
        <v>11</v>
      </c>
      <c r="C9" s="16">
        <v>0</v>
      </c>
      <c r="D9" s="131">
        <v>-1.2</v>
      </c>
      <c r="E9" s="131">
        <v>-1.2</v>
      </c>
      <c r="F9" s="131">
        <v>-1.2</v>
      </c>
      <c r="G9" s="131">
        <v>-1</v>
      </c>
      <c r="H9" s="29">
        <v>0</v>
      </c>
      <c r="I9" s="16">
        <v>0</v>
      </c>
      <c r="J9" s="194">
        <v>-1.2</v>
      </c>
      <c r="K9" s="194">
        <v>-1.2</v>
      </c>
      <c r="L9" s="194">
        <v>-1.2</v>
      </c>
      <c r="M9" s="194">
        <v>-1</v>
      </c>
      <c r="N9" s="29">
        <v>0</v>
      </c>
      <c r="O9" s="16">
        <v>0</v>
      </c>
      <c r="P9" s="131">
        <v>-1.2</v>
      </c>
      <c r="Q9" s="131">
        <v>-1.2</v>
      </c>
      <c r="R9" s="131">
        <v>-1.2</v>
      </c>
      <c r="S9" s="131">
        <v>-1</v>
      </c>
      <c r="T9" s="29">
        <v>0</v>
      </c>
      <c r="U9" s="16">
        <v>0</v>
      </c>
      <c r="V9" s="131">
        <v>-1.2</v>
      </c>
      <c r="W9" s="131">
        <v>-1.2</v>
      </c>
      <c r="X9" s="131">
        <v>-1.2</v>
      </c>
      <c r="Y9" s="131">
        <v>-1</v>
      </c>
      <c r="Z9" s="29">
        <v>0</v>
      </c>
      <c r="AA9" s="16">
        <v>0</v>
      </c>
      <c r="AB9" s="131">
        <v>-1.2</v>
      </c>
      <c r="AC9" s="131">
        <v>-1.2</v>
      </c>
      <c r="AD9" s="131">
        <v>-1.2</v>
      </c>
      <c r="AE9" s="131">
        <v>-1</v>
      </c>
      <c r="AF9" s="29">
        <v>0</v>
      </c>
      <c r="AG9" s="16"/>
      <c r="AH9" s="76"/>
      <c r="AI9" s="74"/>
      <c r="AJ9" s="77"/>
      <c r="AK9" s="74"/>
      <c r="AL9" s="75"/>
      <c r="AM9" s="73"/>
      <c r="AN9" s="82"/>
      <c r="AO9" s="82"/>
      <c r="AP9" s="82"/>
      <c r="AQ9" s="83"/>
      <c r="AR9" s="82"/>
      <c r="AS9" s="82"/>
      <c r="AT9" s="82"/>
      <c r="AU9" s="82"/>
      <c r="AV9" t="s">
        <v>17</v>
      </c>
      <c r="AW9">
        <v>20.8</v>
      </c>
      <c r="AX9" s="100">
        <v>142.83234872999989</v>
      </c>
      <c r="AY9">
        <v>-1.6</v>
      </c>
      <c r="AZ9">
        <v>5.7</v>
      </c>
    </row>
    <row r="10" spans="1:53" ht="15.75" thickBot="1" x14ac:dyDescent="0.3">
      <c r="A10" s="221"/>
      <c r="B10" s="18" t="s">
        <v>12</v>
      </c>
      <c r="C10" s="25">
        <v>0</v>
      </c>
      <c r="D10" s="20"/>
      <c r="E10" s="20"/>
      <c r="F10" s="20"/>
      <c r="G10" s="20"/>
      <c r="H10" s="21"/>
      <c r="I10" s="20"/>
      <c r="J10" s="20"/>
      <c r="K10" s="20"/>
      <c r="L10" s="20"/>
      <c r="M10" s="20"/>
      <c r="N10" s="20"/>
      <c r="O10" s="25">
        <v>0</v>
      </c>
      <c r="P10" s="20"/>
      <c r="Q10" s="20"/>
      <c r="R10" s="20"/>
      <c r="S10" s="20"/>
      <c r="T10" s="21"/>
      <c r="U10" s="25">
        <v>0</v>
      </c>
      <c r="V10" s="20"/>
      <c r="W10" s="20"/>
      <c r="X10" s="20"/>
      <c r="Y10" s="20"/>
      <c r="Z10" s="21"/>
      <c r="AA10" s="25">
        <v>0</v>
      </c>
      <c r="AB10" s="20"/>
      <c r="AC10" s="20"/>
      <c r="AD10" s="20"/>
      <c r="AE10" s="20"/>
      <c r="AF10" s="21"/>
      <c r="AG10" s="16"/>
      <c r="AH10" s="78" t="s">
        <v>77</v>
      </c>
      <c r="AI10" s="74"/>
      <c r="AJ10" s="74">
        <v>0</v>
      </c>
      <c r="AK10" s="74"/>
      <c r="AL10" s="75"/>
      <c r="AM10" s="54"/>
      <c r="AN10" s="82"/>
      <c r="AO10" s="82"/>
      <c r="AP10" s="82"/>
      <c r="AQ10" s="83"/>
      <c r="AR10" s="82"/>
      <c r="AS10" s="82"/>
      <c r="AT10" s="82"/>
      <c r="AU10" s="82"/>
      <c r="AV10" t="s">
        <v>18</v>
      </c>
      <c r="AW10">
        <v>30.8</v>
      </c>
      <c r="AX10" s="100">
        <v>70.801949500000006</v>
      </c>
      <c r="AY10">
        <v>-1.7</v>
      </c>
      <c r="AZ10">
        <v>3.2</v>
      </c>
      <c r="BA10">
        <v>-2.5099999999999998</v>
      </c>
    </row>
    <row r="11" spans="1:53" x14ac:dyDescent="0.25">
      <c r="AH11" t="s">
        <v>82</v>
      </c>
      <c r="AJ11">
        <f>(AC6+AC9)/2</f>
        <v>-1.2999999999999998</v>
      </c>
    </row>
    <row r="13" spans="1:53" ht="14.25" customHeight="1" x14ac:dyDescent="0.25">
      <c r="A13" s="47"/>
      <c r="B13" s="63"/>
      <c r="C13">
        <f>(C5*D6)-(C6*D5)</f>
        <v>1.1000000000000001</v>
      </c>
      <c r="D13">
        <f t="shared" ref="D13:AE13" si="1">(D5*E6)-(D6*E5)</f>
        <v>0</v>
      </c>
      <c r="E13">
        <f t="shared" si="1"/>
        <v>2.3100000000000005</v>
      </c>
      <c r="F13">
        <f t="shared" si="1"/>
        <v>0</v>
      </c>
      <c r="G13">
        <f t="shared" si="1"/>
        <v>1.2100000000000002</v>
      </c>
      <c r="H13">
        <f>(H5*C6)-(H6*C5)</f>
        <v>0</v>
      </c>
      <c r="I13">
        <f>(I5*J6)-(I6*J5)</f>
        <v>1.1000000000000001</v>
      </c>
      <c r="J13">
        <f t="shared" ref="J13" si="2">(J5*K6)-(J6*K5)</f>
        <v>0</v>
      </c>
      <c r="K13">
        <f t="shared" ref="K13" si="3">(K5*L6)-(K6*L5)</f>
        <v>2.3100000000000005</v>
      </c>
      <c r="L13">
        <f t="shared" ref="L13" si="4">(L5*M6)-(L6*M5)</f>
        <v>0</v>
      </c>
      <c r="M13">
        <f t="shared" ref="M13" si="5">(M5*N6)-(M6*N5)</f>
        <v>1.2100000000000002</v>
      </c>
      <c r="N13">
        <f>(N5*I6)-(N6*I5)</f>
        <v>0</v>
      </c>
      <c r="O13">
        <f t="shared" si="1"/>
        <v>1.3</v>
      </c>
      <c r="P13">
        <f t="shared" si="1"/>
        <v>0</v>
      </c>
      <c r="Q13">
        <f t="shared" si="1"/>
        <v>2.8600000000000003</v>
      </c>
      <c r="R13">
        <f t="shared" si="1"/>
        <v>0</v>
      </c>
      <c r="S13">
        <f t="shared" si="1"/>
        <v>1.56</v>
      </c>
      <c r="T13">
        <f>(T5*O6)-(T6*O5)</f>
        <v>0</v>
      </c>
      <c r="U13">
        <f t="shared" si="1"/>
        <v>1.56</v>
      </c>
      <c r="V13">
        <f t="shared" si="1"/>
        <v>0</v>
      </c>
      <c r="W13">
        <f t="shared" si="1"/>
        <v>3.25</v>
      </c>
      <c r="X13">
        <f t="shared" si="1"/>
        <v>0</v>
      </c>
      <c r="Y13">
        <f t="shared" si="1"/>
        <v>1.6900000000000002</v>
      </c>
      <c r="Z13">
        <f>(Z5*U6)-(Z6*U5)</f>
        <v>0</v>
      </c>
      <c r="AA13">
        <f t="shared" si="1"/>
        <v>1.68</v>
      </c>
      <c r="AB13">
        <f t="shared" si="1"/>
        <v>0</v>
      </c>
      <c r="AC13">
        <f t="shared" si="1"/>
        <v>3.5</v>
      </c>
      <c r="AD13">
        <f t="shared" si="1"/>
        <v>0</v>
      </c>
      <c r="AE13">
        <f t="shared" si="1"/>
        <v>1.8199999999999998</v>
      </c>
      <c r="AF13">
        <f>(AF5*AA6)-(AF6*AA5)</f>
        <v>0</v>
      </c>
      <c r="AH13" s="162">
        <f>ABS(SUM(C13:H13))/2</f>
        <v>2.3100000000000005</v>
      </c>
      <c r="AI13" s="162">
        <f>ABS(SUM(O13:T13))/2</f>
        <v>2.8600000000000003</v>
      </c>
      <c r="AJ13" s="162">
        <f>ABS(SUM(U13:Z13))/2</f>
        <v>3.2500000000000004</v>
      </c>
      <c r="AK13" s="168">
        <f>ABS(SUM(AA13:AF13))/2</f>
        <v>3.5</v>
      </c>
      <c r="AQ13" s="168"/>
      <c r="AR13" s="168"/>
      <c r="AS13" s="168"/>
      <c r="AT13" s="168"/>
      <c r="AU13" s="168"/>
    </row>
    <row r="14" spans="1:53" x14ac:dyDescent="0.25">
      <c r="A14" s="47"/>
      <c r="B14" s="63"/>
      <c r="C14">
        <f>(C8*D9)-(C9*D8)</f>
        <v>4.8</v>
      </c>
      <c r="D14">
        <f t="shared" ref="D14:AE14" si="6">(D8*E9)-(D9*E8)</f>
        <v>0</v>
      </c>
      <c r="E14">
        <f t="shared" si="6"/>
        <v>9.6</v>
      </c>
      <c r="F14">
        <f t="shared" si="6"/>
        <v>0.79999999999999982</v>
      </c>
      <c r="G14">
        <f t="shared" si="6"/>
        <v>4.1500000000000004</v>
      </c>
      <c r="H14">
        <f>(H8*C9)-(H9*C8)</f>
        <v>0</v>
      </c>
      <c r="I14">
        <f>(I8*J9)-(I9*J8)</f>
        <v>4.8</v>
      </c>
      <c r="J14">
        <f t="shared" ref="J14" si="7">(J8*K9)-(J9*K8)</f>
        <v>0</v>
      </c>
      <c r="K14">
        <f t="shared" ref="K14" si="8">(K8*L9)-(K9*L8)</f>
        <v>9.6</v>
      </c>
      <c r="L14">
        <f t="shared" ref="L14" si="9">(L8*M9)-(L9*M8)</f>
        <v>0.79999999999999982</v>
      </c>
      <c r="M14">
        <f t="shared" ref="M14" si="10">(M8*N9)-(M9*N8)</f>
        <v>4.1500000000000004</v>
      </c>
      <c r="N14">
        <f>(N8*I9)-(N9*I8)</f>
        <v>0</v>
      </c>
      <c r="O14">
        <f t="shared" si="6"/>
        <v>4.8</v>
      </c>
      <c r="P14">
        <f t="shared" si="6"/>
        <v>0</v>
      </c>
      <c r="Q14">
        <f t="shared" si="6"/>
        <v>9.6</v>
      </c>
      <c r="R14">
        <f t="shared" si="6"/>
        <v>0.79999999999999982</v>
      </c>
      <c r="S14">
        <f t="shared" si="6"/>
        <v>4.1500000000000004</v>
      </c>
      <c r="T14">
        <f>(T8*O9)-(T9*O8)</f>
        <v>0</v>
      </c>
      <c r="U14">
        <f t="shared" si="6"/>
        <v>4.8</v>
      </c>
      <c r="V14">
        <f t="shared" si="6"/>
        <v>0</v>
      </c>
      <c r="W14">
        <f t="shared" si="6"/>
        <v>9.6</v>
      </c>
      <c r="X14">
        <f t="shared" si="6"/>
        <v>0.79999999999999982</v>
      </c>
      <c r="Y14">
        <f t="shared" si="6"/>
        <v>4.1500000000000004</v>
      </c>
      <c r="Z14">
        <f>(Z8*U9)-(Z9*U8)</f>
        <v>0</v>
      </c>
      <c r="AA14">
        <f t="shared" si="6"/>
        <v>4.9800000000000004</v>
      </c>
      <c r="AB14">
        <f t="shared" si="6"/>
        <v>0</v>
      </c>
      <c r="AC14">
        <f t="shared" si="6"/>
        <v>9.6</v>
      </c>
      <c r="AD14">
        <f t="shared" si="6"/>
        <v>0.79999999999999982</v>
      </c>
      <c r="AE14">
        <f t="shared" si="6"/>
        <v>4.1500000000000004</v>
      </c>
      <c r="AF14">
        <f>(AF8*AA9)-(AF9*AA8)</f>
        <v>0</v>
      </c>
      <c r="AH14" s="162">
        <f>ABS(SUM(C14:H14))/2</f>
        <v>9.6750000000000007</v>
      </c>
      <c r="AI14" s="162">
        <f>ABS(SUM(O14:T14))/2</f>
        <v>9.6750000000000007</v>
      </c>
      <c r="AJ14" s="162">
        <f>ABS(SUM(U14:Z14))/2</f>
        <v>9.6750000000000007</v>
      </c>
      <c r="AK14" s="168">
        <f>ABS(SUM(AA14:AF14))/2</f>
        <v>9.7650000000000006</v>
      </c>
      <c r="AQ14" s="168"/>
      <c r="AR14" s="168"/>
      <c r="AS14" s="168"/>
      <c r="AT14" s="168"/>
      <c r="AU14" s="168"/>
    </row>
    <row r="16" spans="1:53" x14ac:dyDescent="0.25">
      <c r="C16" s="47">
        <f>E3</f>
        <v>41453</v>
      </c>
      <c r="D16" s="47">
        <v>41478</v>
      </c>
      <c r="E16" s="47">
        <f>Q3</f>
        <v>41491</v>
      </c>
      <c r="F16" s="47">
        <f>W3</f>
        <v>41499</v>
      </c>
      <c r="G16" s="47">
        <f>AC3</f>
        <v>41516</v>
      </c>
    </row>
    <row r="17" spans="2:7" x14ac:dyDescent="0.25">
      <c r="B17" t="s">
        <v>10</v>
      </c>
      <c r="C17">
        <f>H5-C5</f>
        <v>2.1</v>
      </c>
      <c r="D17">
        <f>N5-I5</f>
        <v>2.1</v>
      </c>
      <c r="E17">
        <f>T5-O5</f>
        <v>2.2000000000000002</v>
      </c>
      <c r="F17">
        <f>Z5-U5</f>
        <v>2.5</v>
      </c>
      <c r="G17">
        <f>AF5-AA5</f>
        <v>2.5</v>
      </c>
    </row>
    <row r="18" spans="2:7" x14ac:dyDescent="0.25">
      <c r="B18" t="s">
        <v>11</v>
      </c>
      <c r="C18">
        <f>E6</f>
        <v>-1.1000000000000001</v>
      </c>
      <c r="D18">
        <f>L6</f>
        <v>-1.1000000000000001</v>
      </c>
      <c r="E18">
        <f>R6</f>
        <v>-1.3</v>
      </c>
      <c r="F18">
        <f>X6</f>
        <v>-1.3</v>
      </c>
      <c r="G18">
        <f>AD6</f>
        <v>-1.4</v>
      </c>
    </row>
    <row r="19" spans="2:7" x14ac:dyDescent="0.25">
      <c r="B19" t="s">
        <v>12</v>
      </c>
      <c r="C19">
        <v>1.5</v>
      </c>
      <c r="D19">
        <v>1.5</v>
      </c>
      <c r="E19">
        <v>1.5</v>
      </c>
      <c r="F19">
        <v>1.5</v>
      </c>
      <c r="G19">
        <v>1.5</v>
      </c>
    </row>
  </sheetData>
  <mergeCells count="4">
    <mergeCell ref="AH2:AL2"/>
    <mergeCell ref="AM2:AQ2"/>
    <mergeCell ref="A5:A7"/>
    <mergeCell ref="A8:A10"/>
  </mergeCell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4"/>
  <sheetViews>
    <sheetView topLeftCell="A10" workbookViewId="0">
      <selection activeCell="E16" sqref="E16"/>
    </sheetView>
  </sheetViews>
  <sheetFormatPr defaultRowHeight="15" x14ac:dyDescent="0.25"/>
  <cols>
    <col min="1" max="1" width="11.42578125" customWidth="1"/>
    <col min="2" max="2" width="9.7109375" bestFit="1" customWidth="1"/>
    <col min="3" max="3" width="13.7109375" bestFit="1" customWidth="1"/>
    <col min="4" max="4" width="10.7109375" bestFit="1" customWidth="1"/>
  </cols>
  <sheetData>
    <row r="1" spans="1:58" x14ac:dyDescent="0.25">
      <c r="B1" s="224" t="s">
        <v>90</v>
      </c>
      <c r="C1" s="224"/>
      <c r="D1" s="224" t="s">
        <v>91</v>
      </c>
      <c r="E1" s="224"/>
      <c r="F1" s="224" t="s">
        <v>92</v>
      </c>
      <c r="G1" s="224"/>
      <c r="H1" s="224" t="s">
        <v>93</v>
      </c>
      <c r="I1" s="224"/>
      <c r="J1" s="224" t="s">
        <v>94</v>
      </c>
      <c r="K1" s="224"/>
      <c r="L1" s="224" t="s">
        <v>95</v>
      </c>
      <c r="M1" s="224"/>
      <c r="N1" s="224" t="s">
        <v>96</v>
      </c>
      <c r="O1" s="224"/>
      <c r="P1" s="224" t="s">
        <v>97</v>
      </c>
      <c r="Q1" s="224"/>
      <c r="R1" s="224" t="s">
        <v>98</v>
      </c>
      <c r="S1" s="224"/>
      <c r="T1" s="224" t="s">
        <v>99</v>
      </c>
      <c r="U1" s="224"/>
      <c r="V1" s="224" t="s">
        <v>100</v>
      </c>
      <c r="W1" s="224"/>
      <c r="X1" s="224" t="s">
        <v>101</v>
      </c>
      <c r="Y1" s="224"/>
      <c r="Z1" s="224" t="s">
        <v>102</v>
      </c>
      <c r="AA1" s="224"/>
      <c r="AB1" s="161"/>
      <c r="AC1" s="161"/>
      <c r="AD1" s="161"/>
      <c r="AE1" s="161"/>
      <c r="AF1" s="161"/>
      <c r="AG1" s="161"/>
      <c r="AH1" s="161"/>
    </row>
    <row r="2" spans="1:58" ht="30" x14ac:dyDescent="0.25">
      <c r="B2" s="160" t="s">
        <v>87</v>
      </c>
      <c r="C2" s="160" t="s">
        <v>88</v>
      </c>
      <c r="D2" s="160" t="s">
        <v>87</v>
      </c>
      <c r="E2" s="160" t="s">
        <v>88</v>
      </c>
      <c r="F2" s="160" t="s">
        <v>87</v>
      </c>
      <c r="G2" s="160" t="s">
        <v>88</v>
      </c>
      <c r="H2" s="160" t="s">
        <v>87</v>
      </c>
      <c r="I2" s="160" t="s">
        <v>88</v>
      </c>
      <c r="J2" s="160" t="s">
        <v>87</v>
      </c>
      <c r="K2" s="160" t="s">
        <v>88</v>
      </c>
      <c r="L2" s="160" t="s">
        <v>87</v>
      </c>
      <c r="M2" s="160" t="s">
        <v>88</v>
      </c>
      <c r="N2" s="160" t="s">
        <v>87</v>
      </c>
      <c r="O2" s="160" t="s">
        <v>88</v>
      </c>
      <c r="P2" s="160" t="s">
        <v>87</v>
      </c>
      <c r="Q2" s="160" t="s">
        <v>88</v>
      </c>
      <c r="R2" s="160" t="s">
        <v>87</v>
      </c>
      <c r="S2" s="160" t="s">
        <v>88</v>
      </c>
      <c r="T2" s="160" t="s">
        <v>87</v>
      </c>
      <c r="U2" s="160" t="s">
        <v>88</v>
      </c>
      <c r="V2" s="160" t="s">
        <v>87</v>
      </c>
      <c r="W2" s="160" t="s">
        <v>88</v>
      </c>
      <c r="X2" s="160" t="s">
        <v>87</v>
      </c>
      <c r="Y2" s="160" t="s">
        <v>88</v>
      </c>
      <c r="Z2" s="160" t="s">
        <v>87</v>
      </c>
      <c r="AA2" s="160" t="s">
        <v>88</v>
      </c>
    </row>
    <row r="3" spans="1:58" x14ac:dyDescent="0.25">
      <c r="A3" s="47">
        <v>41453</v>
      </c>
      <c r="B3" s="64">
        <v>57.724000000000004</v>
      </c>
      <c r="C3" s="64">
        <v>46.179200000000009</v>
      </c>
      <c r="D3" s="64">
        <v>12.0175</v>
      </c>
      <c r="E3" s="64">
        <v>11.416625</v>
      </c>
      <c r="F3" s="64">
        <v>2.9510000000000001</v>
      </c>
      <c r="G3" s="64">
        <v>12.0991</v>
      </c>
      <c r="H3" s="64">
        <v>7.5965000000000007</v>
      </c>
      <c r="I3" s="64">
        <v>4.5579000000000001</v>
      </c>
      <c r="J3" s="64">
        <v>94.117500000000007</v>
      </c>
      <c r="K3" s="64">
        <v>244.70550000000003</v>
      </c>
      <c r="L3" s="64">
        <v>153.54</v>
      </c>
      <c r="M3" s="64">
        <v>1270.5404999999998</v>
      </c>
      <c r="N3" s="64">
        <v>15.894</v>
      </c>
      <c r="O3" s="64">
        <v>12.715200000000001</v>
      </c>
      <c r="P3" s="64">
        <v>80.484999999999999</v>
      </c>
      <c r="Q3" s="64">
        <v>215.10974999999996</v>
      </c>
      <c r="R3" s="64">
        <v>14.280000000000001</v>
      </c>
      <c r="S3" s="64">
        <v>17.135999999999999</v>
      </c>
      <c r="T3" s="64">
        <v>23.926999999999996</v>
      </c>
      <c r="U3" s="64">
        <v>35.890499999999996</v>
      </c>
      <c r="V3" s="64">
        <v>83.907499999999999</v>
      </c>
      <c r="W3" s="64">
        <v>226.55025000000001</v>
      </c>
      <c r="X3" s="64">
        <v>5.9849999999999994</v>
      </c>
      <c r="Y3" s="64">
        <v>5.9849999999999994</v>
      </c>
      <c r="Z3" s="64">
        <v>11.985000000000001</v>
      </c>
      <c r="AA3" s="64">
        <v>8.9887500000000014</v>
      </c>
    </row>
    <row r="4" spans="1:58" x14ac:dyDescent="0.25">
      <c r="A4" s="47">
        <v>41478</v>
      </c>
      <c r="B4" s="64">
        <v>57.724000000000004</v>
      </c>
      <c r="C4" s="64">
        <v>46.179200000000009</v>
      </c>
      <c r="D4" s="64">
        <v>12.0175</v>
      </c>
      <c r="E4" s="64">
        <v>11.416625</v>
      </c>
      <c r="F4" s="64">
        <v>5.2415000000000003</v>
      </c>
      <c r="G4" s="64">
        <v>32.377649999999996</v>
      </c>
      <c r="H4" s="64">
        <v>10.352049999999998</v>
      </c>
      <c r="I4" s="64">
        <v>6.2112299999999987</v>
      </c>
      <c r="J4" s="64">
        <v>116.8715</v>
      </c>
      <c r="K4" s="64">
        <v>303.86590000000001</v>
      </c>
      <c r="L4" s="64">
        <v>182.47800000000001</v>
      </c>
      <c r="M4" s="64">
        <v>1434.4614500000002</v>
      </c>
      <c r="N4" s="64">
        <v>15.894</v>
      </c>
      <c r="O4" s="64">
        <v>12.715200000000001</v>
      </c>
      <c r="P4" s="64">
        <v>121.09050000000001</v>
      </c>
      <c r="Q4" s="64">
        <v>388.29332500000004</v>
      </c>
      <c r="R4" s="64">
        <v>22.569000000000003</v>
      </c>
      <c r="S4" s="64">
        <v>27.082800000000002</v>
      </c>
      <c r="T4" s="64">
        <v>23.926999999999996</v>
      </c>
      <c r="U4" s="64">
        <v>35.890499999999996</v>
      </c>
      <c r="V4" s="64">
        <v>83.907499999999999</v>
      </c>
      <c r="W4" s="64">
        <v>226.55025000000001</v>
      </c>
      <c r="X4" s="64">
        <v>6.7309999999999999</v>
      </c>
      <c r="Y4" s="64">
        <v>6.7309999999999999</v>
      </c>
      <c r="Z4" s="64">
        <v>11.985000000000001</v>
      </c>
      <c r="AA4" s="64">
        <v>8.9887500000000014</v>
      </c>
      <c r="AB4" s="64">
        <f t="shared" ref="AB4:AC8" si="0">L4-L3</f>
        <v>28.938000000000017</v>
      </c>
      <c r="AC4" s="64">
        <f t="shared" si="0"/>
        <v>163.9209500000004</v>
      </c>
      <c r="AD4" s="64">
        <f t="shared" ref="AD4:AM8" si="1">B4-B3</f>
        <v>0</v>
      </c>
      <c r="AE4" s="64">
        <f t="shared" si="1"/>
        <v>0</v>
      </c>
      <c r="AF4" s="64">
        <f t="shared" si="1"/>
        <v>0</v>
      </c>
      <c r="AG4" s="64">
        <f t="shared" si="1"/>
        <v>0</v>
      </c>
      <c r="AH4" s="64">
        <f t="shared" si="1"/>
        <v>2.2905000000000002</v>
      </c>
      <c r="AI4" s="64">
        <f t="shared" si="1"/>
        <v>20.278549999999996</v>
      </c>
      <c r="AJ4" s="64">
        <f t="shared" si="1"/>
        <v>2.7555499999999977</v>
      </c>
      <c r="AK4" s="64">
        <f t="shared" si="1"/>
        <v>1.6533299999999986</v>
      </c>
      <c r="AL4" s="64">
        <f t="shared" si="1"/>
        <v>22.753999999999991</v>
      </c>
      <c r="AM4" s="64">
        <f t="shared" si="1"/>
        <v>59.160399999999981</v>
      </c>
      <c r="AN4" s="64">
        <f t="shared" ref="AN4:BA8" si="2">N4-N3</f>
        <v>0</v>
      </c>
      <c r="AO4" s="64">
        <f t="shared" si="2"/>
        <v>0</v>
      </c>
      <c r="AP4" s="64">
        <f t="shared" si="2"/>
        <v>40.605500000000006</v>
      </c>
      <c r="AQ4" s="64">
        <f t="shared" si="2"/>
        <v>173.18357500000008</v>
      </c>
      <c r="AR4" s="64">
        <f t="shared" si="2"/>
        <v>8.2890000000000015</v>
      </c>
      <c r="AS4" s="64">
        <f t="shared" si="2"/>
        <v>9.9468000000000032</v>
      </c>
      <c r="AT4" s="64">
        <f t="shared" si="2"/>
        <v>0</v>
      </c>
      <c r="AU4" s="64">
        <f t="shared" si="2"/>
        <v>0</v>
      </c>
      <c r="AV4" s="64">
        <f t="shared" si="2"/>
        <v>0</v>
      </c>
      <c r="AW4" s="64">
        <f t="shared" si="2"/>
        <v>0</v>
      </c>
      <c r="AX4" s="64">
        <f t="shared" si="2"/>
        <v>0.74600000000000044</v>
      </c>
      <c r="AY4" s="64">
        <f t="shared" si="2"/>
        <v>0.74600000000000044</v>
      </c>
      <c r="AZ4" s="64">
        <f t="shared" si="2"/>
        <v>0</v>
      </c>
      <c r="BA4" s="64">
        <f t="shared" si="2"/>
        <v>0</v>
      </c>
      <c r="BB4" s="64"/>
      <c r="BC4" s="64"/>
      <c r="BD4" s="64"/>
      <c r="BE4" s="64"/>
      <c r="BF4" s="64"/>
    </row>
    <row r="5" spans="1:58" x14ac:dyDescent="0.25">
      <c r="A5" s="47">
        <v>41491</v>
      </c>
      <c r="B5" s="64">
        <v>59.38000000000001</v>
      </c>
      <c r="C5" s="64">
        <v>47.504000000000012</v>
      </c>
      <c r="D5" s="64">
        <v>14.746</v>
      </c>
      <c r="E5" s="64">
        <v>14.008699999999999</v>
      </c>
      <c r="F5" s="64">
        <v>10.12185</v>
      </c>
      <c r="G5" s="64">
        <v>54.061084999999991</v>
      </c>
      <c r="H5" s="64">
        <v>14.285500000000001</v>
      </c>
      <c r="I5" s="64">
        <v>8.5713000000000008</v>
      </c>
      <c r="J5" s="64">
        <v>136.30625000000001</v>
      </c>
      <c r="K5" s="64">
        <v>354.39625000000001</v>
      </c>
      <c r="L5" s="64">
        <v>203.21</v>
      </c>
      <c r="M5" s="64">
        <v>1534.23</v>
      </c>
      <c r="N5" s="64">
        <v>16.22</v>
      </c>
      <c r="O5" s="64">
        <v>12.975999999999999</v>
      </c>
      <c r="P5" s="64">
        <v>145.13200000000001</v>
      </c>
      <c r="Q5" s="64">
        <v>528.55390000000011</v>
      </c>
      <c r="R5" s="64">
        <v>28.818999999999996</v>
      </c>
      <c r="S5" s="64">
        <v>34.582799999999992</v>
      </c>
      <c r="T5" s="64">
        <v>24.888999999999996</v>
      </c>
      <c r="U5" s="64">
        <v>37.333499999999994</v>
      </c>
      <c r="V5" s="64">
        <v>154.8895</v>
      </c>
      <c r="W5" s="64">
        <v>506.07495000000006</v>
      </c>
      <c r="X5" s="64">
        <v>8.3449999999999989</v>
      </c>
      <c r="Y5" s="64">
        <v>8.3449999999999989</v>
      </c>
      <c r="Z5" s="64">
        <v>12.535</v>
      </c>
      <c r="AA5" s="64">
        <v>9.401250000000001</v>
      </c>
      <c r="AB5" s="64">
        <f t="shared" si="0"/>
        <v>20.731999999999999</v>
      </c>
      <c r="AC5" s="64">
        <f t="shared" si="0"/>
        <v>99.768549999999777</v>
      </c>
      <c r="AD5" s="64">
        <f t="shared" si="1"/>
        <v>1.6560000000000059</v>
      </c>
      <c r="AE5" s="64">
        <f t="shared" si="1"/>
        <v>1.3248000000000033</v>
      </c>
      <c r="AF5" s="64">
        <f t="shared" si="1"/>
        <v>2.7285000000000004</v>
      </c>
      <c r="AG5" s="64">
        <f t="shared" si="1"/>
        <v>2.5920749999999995</v>
      </c>
      <c r="AH5" s="64">
        <f t="shared" si="1"/>
        <v>4.88035</v>
      </c>
      <c r="AI5" s="64">
        <f t="shared" si="1"/>
        <v>21.683434999999996</v>
      </c>
      <c r="AJ5" s="64">
        <f t="shared" si="1"/>
        <v>3.9334500000000023</v>
      </c>
      <c r="AK5" s="64">
        <f t="shared" si="1"/>
        <v>2.3600700000000021</v>
      </c>
      <c r="AL5" s="64">
        <f t="shared" si="1"/>
        <v>19.434750000000008</v>
      </c>
      <c r="AM5" s="64">
        <f t="shared" si="1"/>
        <v>50.530349999999999</v>
      </c>
      <c r="AN5" s="64">
        <f t="shared" si="2"/>
        <v>0.32599999999999874</v>
      </c>
      <c r="AO5" s="64">
        <f t="shared" si="2"/>
        <v>0.26079999999999792</v>
      </c>
      <c r="AP5" s="64">
        <f t="shared" si="2"/>
        <v>24.041499999999999</v>
      </c>
      <c r="AQ5" s="64">
        <f t="shared" si="2"/>
        <v>140.26057500000007</v>
      </c>
      <c r="AR5" s="64">
        <f t="shared" si="2"/>
        <v>6.2499999999999929</v>
      </c>
      <c r="AS5" s="64">
        <f t="shared" si="2"/>
        <v>7.4999999999999893</v>
      </c>
      <c r="AT5" s="64">
        <f t="shared" si="2"/>
        <v>0.96199999999999974</v>
      </c>
      <c r="AU5" s="64">
        <f t="shared" si="2"/>
        <v>1.4429999999999978</v>
      </c>
      <c r="AV5" s="64">
        <f t="shared" si="2"/>
        <v>70.981999999999999</v>
      </c>
      <c r="AW5" s="64">
        <f t="shared" si="2"/>
        <v>279.52470000000005</v>
      </c>
      <c r="AX5" s="64">
        <f t="shared" si="2"/>
        <v>1.613999999999999</v>
      </c>
      <c r="AY5" s="64">
        <f t="shared" si="2"/>
        <v>1.613999999999999</v>
      </c>
      <c r="AZ5" s="64">
        <f t="shared" si="2"/>
        <v>0.54999999999999893</v>
      </c>
      <c r="BA5" s="64">
        <f t="shared" si="2"/>
        <v>0.41249999999999964</v>
      </c>
      <c r="BB5" s="64"/>
      <c r="BC5" s="64"/>
      <c r="BD5" s="64"/>
      <c r="BE5" s="64"/>
      <c r="BF5" s="64"/>
    </row>
    <row r="6" spans="1:58" x14ac:dyDescent="0.25">
      <c r="A6" s="47">
        <v>41495</v>
      </c>
      <c r="B6" s="64">
        <v>59.38000000000001</v>
      </c>
      <c r="C6" s="64">
        <v>47.504000000000012</v>
      </c>
      <c r="D6" s="64">
        <v>21.263500000000001</v>
      </c>
      <c r="E6" s="64">
        <v>29.642825000000002</v>
      </c>
      <c r="F6" s="64">
        <v>20.431550000000001</v>
      </c>
      <c r="G6" s="64">
        <v>120.37085500000001</v>
      </c>
      <c r="H6" s="64">
        <v>20.164999999999999</v>
      </c>
      <c r="I6" s="64">
        <v>32.386000000000003</v>
      </c>
      <c r="J6" s="64">
        <v>247.83124999999998</v>
      </c>
      <c r="K6" s="64">
        <v>1052.0166875</v>
      </c>
      <c r="L6" s="64">
        <v>334.42549999999994</v>
      </c>
      <c r="M6" s="64">
        <v>2430.6984749999997</v>
      </c>
      <c r="N6" s="64">
        <v>15.945</v>
      </c>
      <c r="O6" s="64">
        <v>12.756</v>
      </c>
      <c r="P6" s="64">
        <v>170.28050000000002</v>
      </c>
      <c r="Q6" s="64">
        <v>653.46097499999996</v>
      </c>
      <c r="R6" s="64">
        <v>36.548000000000002</v>
      </c>
      <c r="S6" s="64">
        <v>77.484100000000012</v>
      </c>
      <c r="T6" s="64">
        <v>24.897999999999996</v>
      </c>
      <c r="U6" s="64">
        <v>37.346999999999994</v>
      </c>
      <c r="V6" s="64">
        <v>173.18149999999997</v>
      </c>
      <c r="W6" s="64">
        <v>539.8740499999999</v>
      </c>
      <c r="X6" s="64">
        <v>9.1050000000000004</v>
      </c>
      <c r="Y6" s="64">
        <v>9.1050000000000004</v>
      </c>
      <c r="Z6" s="64">
        <v>12.925000000000001</v>
      </c>
      <c r="AA6" s="64">
        <v>9.6937500000000014</v>
      </c>
      <c r="AB6" s="64">
        <f t="shared" si="0"/>
        <v>131.21549999999993</v>
      </c>
      <c r="AC6" s="64">
        <f t="shared" si="0"/>
        <v>896.46847499999967</v>
      </c>
      <c r="AD6" s="64">
        <f t="shared" si="1"/>
        <v>0</v>
      </c>
      <c r="AE6" s="64">
        <f t="shared" si="1"/>
        <v>0</v>
      </c>
      <c r="AF6" s="64">
        <f t="shared" si="1"/>
        <v>6.5175000000000001</v>
      </c>
      <c r="AG6" s="64">
        <f t="shared" si="1"/>
        <v>15.634125000000003</v>
      </c>
      <c r="AH6" s="64">
        <f t="shared" si="1"/>
        <v>10.309700000000001</v>
      </c>
      <c r="AI6" s="64">
        <f t="shared" si="1"/>
        <v>66.309770000000015</v>
      </c>
      <c r="AJ6" s="64">
        <f t="shared" si="1"/>
        <v>5.8794999999999984</v>
      </c>
      <c r="AK6" s="64">
        <f t="shared" si="1"/>
        <v>23.814700000000002</v>
      </c>
      <c r="AL6" s="64">
        <f t="shared" si="1"/>
        <v>111.52499999999998</v>
      </c>
      <c r="AM6" s="64">
        <f t="shared" si="1"/>
        <v>697.62043749999998</v>
      </c>
      <c r="AN6" s="64">
        <f t="shared" si="2"/>
        <v>-0.27499999999999858</v>
      </c>
      <c r="AO6" s="64">
        <f t="shared" si="2"/>
        <v>-0.21999999999999886</v>
      </c>
      <c r="AP6" s="64">
        <f t="shared" si="2"/>
        <v>25.148500000000013</v>
      </c>
      <c r="AQ6" s="64">
        <f t="shared" si="2"/>
        <v>124.90707499999985</v>
      </c>
      <c r="AR6" s="64">
        <f t="shared" si="2"/>
        <v>7.7290000000000063</v>
      </c>
      <c r="AS6" s="64">
        <f t="shared" si="2"/>
        <v>42.90130000000002</v>
      </c>
      <c r="AT6" s="64">
        <f t="shared" si="2"/>
        <v>9.0000000000003411E-3</v>
      </c>
      <c r="AU6" s="64">
        <f t="shared" si="2"/>
        <v>1.3500000000000512E-2</v>
      </c>
      <c r="AV6" s="64">
        <f t="shared" si="2"/>
        <v>18.291999999999973</v>
      </c>
      <c r="AW6" s="64">
        <f t="shared" si="2"/>
        <v>33.799099999999839</v>
      </c>
      <c r="AX6" s="64">
        <f t="shared" si="2"/>
        <v>0.76000000000000156</v>
      </c>
      <c r="AY6" s="64">
        <f t="shared" si="2"/>
        <v>0.76000000000000156</v>
      </c>
      <c r="AZ6" s="64">
        <f t="shared" si="2"/>
        <v>0.39000000000000057</v>
      </c>
      <c r="BA6" s="64">
        <f t="shared" si="2"/>
        <v>0.29250000000000043</v>
      </c>
      <c r="BB6" s="64"/>
      <c r="BC6" s="64"/>
      <c r="BD6" s="64"/>
      <c r="BE6" s="64"/>
      <c r="BF6" s="64"/>
    </row>
    <row r="7" spans="1:58" x14ac:dyDescent="0.25">
      <c r="A7" s="47">
        <v>41516</v>
      </c>
      <c r="B7" s="64">
        <v>81.050000000000011</v>
      </c>
      <c r="C7" s="64">
        <v>56.169000000000011</v>
      </c>
      <c r="D7" s="64">
        <v>27.707500000000003</v>
      </c>
      <c r="E7" s="64">
        <v>38.499250000000004</v>
      </c>
      <c r="F7" s="64">
        <v>33.695</v>
      </c>
      <c r="G7" s="64">
        <v>213.66250000000002</v>
      </c>
      <c r="H7" s="64">
        <v>33.724999999999994</v>
      </c>
      <c r="I7" s="64">
        <v>54.967999999999996</v>
      </c>
      <c r="J7" s="64">
        <v>350.55</v>
      </c>
      <c r="K7" s="64">
        <v>1503.8610000000001</v>
      </c>
      <c r="L7" s="64">
        <v>385.43200000000002</v>
      </c>
      <c r="M7" s="64">
        <v>2926.4331499999998</v>
      </c>
      <c r="N7" s="64">
        <v>19.195</v>
      </c>
      <c r="O7" s="64">
        <v>21.92</v>
      </c>
      <c r="P7" s="64">
        <v>191.125</v>
      </c>
      <c r="Q7" s="64">
        <v>727.73525000000006</v>
      </c>
      <c r="R7" s="64">
        <v>44.515000000000001</v>
      </c>
      <c r="S7" s="64">
        <v>93.622499999999988</v>
      </c>
      <c r="T7" s="64">
        <v>31.849999999999998</v>
      </c>
      <c r="U7" s="64">
        <v>43.420499999999997</v>
      </c>
      <c r="V7" s="64">
        <v>213.80249999999998</v>
      </c>
      <c r="W7" s="64">
        <v>695.38800000000003</v>
      </c>
      <c r="X7" s="64">
        <v>9.2800000000000011</v>
      </c>
      <c r="Y7" s="64">
        <v>9.2800000000000011</v>
      </c>
      <c r="Z7" s="64">
        <v>13.265000000000001</v>
      </c>
      <c r="AA7" s="64">
        <v>9.9487500000000004</v>
      </c>
      <c r="AB7" s="64">
        <f t="shared" si="0"/>
        <v>51.006500000000074</v>
      </c>
      <c r="AC7" s="64">
        <f t="shared" si="0"/>
        <v>495.73467500000015</v>
      </c>
      <c r="AD7" s="64">
        <f t="shared" si="1"/>
        <v>21.67</v>
      </c>
      <c r="AE7" s="64">
        <f t="shared" si="1"/>
        <v>8.6649999999999991</v>
      </c>
      <c r="AF7" s="64">
        <f t="shared" si="1"/>
        <v>6.4440000000000026</v>
      </c>
      <c r="AG7" s="64">
        <f t="shared" si="1"/>
        <v>8.8564250000000015</v>
      </c>
      <c r="AH7" s="64">
        <f t="shared" si="1"/>
        <v>13.263449999999999</v>
      </c>
      <c r="AI7" s="64">
        <f t="shared" si="1"/>
        <v>93.291645000000017</v>
      </c>
      <c r="AJ7" s="64">
        <f t="shared" si="1"/>
        <v>13.559999999999995</v>
      </c>
      <c r="AK7" s="64">
        <f t="shared" si="1"/>
        <v>22.581999999999994</v>
      </c>
      <c r="AL7" s="64">
        <f t="shared" si="1"/>
        <v>102.71875000000003</v>
      </c>
      <c r="AM7" s="64">
        <f t="shared" si="1"/>
        <v>451.84431250000011</v>
      </c>
      <c r="AN7" s="64">
        <f t="shared" si="2"/>
        <v>3.25</v>
      </c>
      <c r="AO7" s="64">
        <f t="shared" si="2"/>
        <v>9.1640000000000015</v>
      </c>
      <c r="AP7" s="64">
        <f t="shared" si="2"/>
        <v>20.844499999999982</v>
      </c>
      <c r="AQ7" s="64">
        <f t="shared" si="2"/>
        <v>74.274275000000102</v>
      </c>
      <c r="AR7" s="64">
        <f t="shared" si="2"/>
        <v>7.9669999999999987</v>
      </c>
      <c r="AS7" s="64">
        <f t="shared" si="2"/>
        <v>16.138399999999976</v>
      </c>
      <c r="AT7" s="64">
        <f t="shared" si="2"/>
        <v>6.9520000000000017</v>
      </c>
      <c r="AU7" s="64">
        <f t="shared" si="2"/>
        <v>6.0735000000000028</v>
      </c>
      <c r="AV7" s="64">
        <f t="shared" si="2"/>
        <v>40.621000000000009</v>
      </c>
      <c r="AW7" s="64">
        <f t="shared" si="2"/>
        <v>155.51395000000014</v>
      </c>
      <c r="AX7" s="64">
        <f t="shared" si="2"/>
        <v>0.17500000000000071</v>
      </c>
      <c r="AY7" s="64">
        <f t="shared" si="2"/>
        <v>0.17500000000000071</v>
      </c>
      <c r="AZ7" s="64">
        <f t="shared" si="2"/>
        <v>0.33999999999999986</v>
      </c>
      <c r="BA7" s="64">
        <f t="shared" si="2"/>
        <v>0.25499999999999901</v>
      </c>
      <c r="BB7" s="64"/>
      <c r="BC7" s="64"/>
      <c r="BD7" s="64"/>
      <c r="BE7" s="64"/>
      <c r="BF7" s="64"/>
    </row>
    <row r="8" spans="1:58" x14ac:dyDescent="0.25">
      <c r="A8" s="47">
        <v>41535</v>
      </c>
      <c r="B8" s="64">
        <f>(B7-B3)/4+(B7)</f>
        <v>86.881500000000017</v>
      </c>
      <c r="C8" s="64">
        <f>(C7-C3)/4+(C7)</f>
        <v>58.666450000000012</v>
      </c>
      <c r="D8" s="64">
        <f t="shared" ref="D8:AA8" si="3">(D7-D3)/4+(D7)</f>
        <v>31.630000000000003</v>
      </c>
      <c r="E8" s="64">
        <f t="shared" si="3"/>
        <v>45.269906250000005</v>
      </c>
      <c r="F8" s="64">
        <f t="shared" si="3"/>
        <v>41.381</v>
      </c>
      <c r="G8" s="64">
        <f t="shared" si="3"/>
        <v>264.05335000000002</v>
      </c>
      <c r="H8" s="64">
        <f t="shared" si="3"/>
        <v>40.257124999999995</v>
      </c>
      <c r="I8" s="64">
        <f t="shared" si="3"/>
        <v>67.570525000000004</v>
      </c>
      <c r="J8" s="64">
        <f t="shared" si="3"/>
        <v>414.65812500000004</v>
      </c>
      <c r="K8" s="64">
        <f t="shared" si="3"/>
        <v>1818.6498750000001</v>
      </c>
      <c r="L8" s="64">
        <v>486.95500000000004</v>
      </c>
      <c r="M8" s="64">
        <v>3586.875</v>
      </c>
      <c r="N8" s="64">
        <f t="shared" si="3"/>
        <v>20.020250000000001</v>
      </c>
      <c r="O8" s="64">
        <f t="shared" si="3"/>
        <v>24.221200000000003</v>
      </c>
      <c r="P8" s="64">
        <f t="shared" si="3"/>
        <v>218.785</v>
      </c>
      <c r="Q8" s="64">
        <f t="shared" si="3"/>
        <v>855.89162500000009</v>
      </c>
      <c r="R8" s="64">
        <f t="shared" si="3"/>
        <v>52.073750000000004</v>
      </c>
      <c r="S8" s="64">
        <f t="shared" si="3"/>
        <v>112.74412499999998</v>
      </c>
      <c r="T8" s="64">
        <f t="shared" si="3"/>
        <v>33.830749999999995</v>
      </c>
      <c r="U8" s="64">
        <f t="shared" si="3"/>
        <v>45.302999999999997</v>
      </c>
      <c r="V8" s="64">
        <f t="shared" si="3"/>
        <v>246.27624999999998</v>
      </c>
      <c r="W8" s="64">
        <f t="shared" si="3"/>
        <v>812.59743750000007</v>
      </c>
      <c r="X8" s="64">
        <f t="shared" si="3"/>
        <v>10.103750000000002</v>
      </c>
      <c r="Y8" s="64">
        <f t="shared" si="3"/>
        <v>10.103750000000002</v>
      </c>
      <c r="Z8" s="64">
        <f t="shared" si="3"/>
        <v>13.585000000000001</v>
      </c>
      <c r="AA8" s="64">
        <f t="shared" si="3"/>
        <v>10.188750000000001</v>
      </c>
      <c r="AB8" s="64">
        <f t="shared" si="0"/>
        <v>101.52300000000002</v>
      </c>
      <c r="AC8" s="64">
        <f t="shared" si="0"/>
        <v>660.44185000000016</v>
      </c>
      <c r="AD8" s="64">
        <f t="shared" si="1"/>
        <v>5.8315000000000055</v>
      </c>
      <c r="AE8" s="64">
        <f t="shared" si="1"/>
        <v>2.4974500000000006</v>
      </c>
      <c r="AF8" s="64">
        <f t="shared" si="1"/>
        <v>3.9224999999999994</v>
      </c>
      <c r="AG8" s="64">
        <f t="shared" si="1"/>
        <v>6.7706562500000018</v>
      </c>
      <c r="AH8" s="64">
        <f t="shared" si="1"/>
        <v>7.6859999999999999</v>
      </c>
      <c r="AI8" s="64">
        <f t="shared" si="1"/>
        <v>50.39085</v>
      </c>
      <c r="AJ8" s="64">
        <f t="shared" si="1"/>
        <v>6.5321250000000006</v>
      </c>
      <c r="AK8" s="64">
        <f t="shared" si="1"/>
        <v>12.602525000000007</v>
      </c>
      <c r="AL8" s="64">
        <f t="shared" si="1"/>
        <v>64.10812500000003</v>
      </c>
      <c r="AM8" s="64">
        <f t="shared" si="1"/>
        <v>314.78887499999996</v>
      </c>
      <c r="AN8" s="64">
        <f t="shared" si="2"/>
        <v>0.82525000000000048</v>
      </c>
      <c r="AO8" s="64">
        <f t="shared" si="2"/>
        <v>2.3012000000000015</v>
      </c>
      <c r="AP8" s="64">
        <f t="shared" si="2"/>
        <v>27.659999999999997</v>
      </c>
      <c r="AQ8" s="64">
        <f t="shared" si="2"/>
        <v>128.15637500000003</v>
      </c>
      <c r="AR8" s="64">
        <f t="shared" si="2"/>
        <v>7.5587500000000034</v>
      </c>
      <c r="AS8" s="64">
        <f t="shared" si="2"/>
        <v>19.121624999999995</v>
      </c>
      <c r="AT8" s="64">
        <f t="shared" si="2"/>
        <v>1.9807499999999969</v>
      </c>
      <c r="AU8" s="64">
        <f t="shared" si="2"/>
        <v>1.8825000000000003</v>
      </c>
      <c r="AV8" s="64">
        <f t="shared" si="2"/>
        <v>32.473749999999995</v>
      </c>
      <c r="AW8" s="64">
        <f t="shared" si="2"/>
        <v>117.20943750000004</v>
      </c>
      <c r="AX8" s="64">
        <f t="shared" si="2"/>
        <v>0.82375000000000043</v>
      </c>
      <c r="AY8" s="64">
        <f t="shared" si="2"/>
        <v>0.82375000000000043</v>
      </c>
      <c r="AZ8" s="64">
        <f t="shared" si="2"/>
        <v>0.32000000000000028</v>
      </c>
      <c r="BA8" s="64">
        <f t="shared" si="2"/>
        <v>0.24000000000000021</v>
      </c>
      <c r="BB8" s="64"/>
      <c r="BC8" s="64"/>
      <c r="BD8" s="64"/>
      <c r="BE8" s="64"/>
      <c r="BF8" s="64"/>
    </row>
    <row r="9" spans="1:58" s="162" customFormat="1" ht="15.75" thickBot="1" x14ac:dyDescent="0.3">
      <c r="A9" s="162" t="s">
        <v>46</v>
      </c>
      <c r="B9" s="172">
        <f>B8-B3</f>
        <v>29.157500000000013</v>
      </c>
      <c r="C9" s="172">
        <f>C8-C3</f>
        <v>12.487250000000003</v>
      </c>
      <c r="D9" s="172">
        <f t="shared" ref="D9:AA9" si="4">D8-D3</f>
        <v>19.612500000000004</v>
      </c>
      <c r="E9" s="172">
        <f t="shared" si="4"/>
        <v>33.853281250000009</v>
      </c>
      <c r="F9" s="172">
        <f t="shared" si="4"/>
        <v>38.43</v>
      </c>
      <c r="G9" s="172">
        <f t="shared" si="4"/>
        <v>251.95425000000003</v>
      </c>
      <c r="H9" s="172">
        <f t="shared" si="4"/>
        <v>32.660624999999996</v>
      </c>
      <c r="I9" s="172">
        <f t="shared" si="4"/>
        <v>63.012625</v>
      </c>
      <c r="J9" s="172">
        <f t="shared" si="4"/>
        <v>320.54062500000003</v>
      </c>
      <c r="K9" s="172">
        <f t="shared" si="4"/>
        <v>1573.944375</v>
      </c>
      <c r="L9" s="172">
        <f>L8-L3</f>
        <v>333.41500000000008</v>
      </c>
      <c r="M9" s="172">
        <f>M8-M3</f>
        <v>2316.3344999999999</v>
      </c>
      <c r="N9" s="172">
        <f t="shared" si="4"/>
        <v>4.1262500000000006</v>
      </c>
      <c r="O9" s="172">
        <f t="shared" si="4"/>
        <v>11.506000000000002</v>
      </c>
      <c r="P9" s="172">
        <f t="shared" si="4"/>
        <v>138.30000000000001</v>
      </c>
      <c r="Q9" s="172">
        <f t="shared" si="4"/>
        <v>640.78187500000013</v>
      </c>
      <c r="R9" s="172">
        <f t="shared" si="4"/>
        <v>37.793750000000003</v>
      </c>
      <c r="S9" s="172">
        <f t="shared" si="4"/>
        <v>95.608124999999987</v>
      </c>
      <c r="T9" s="172">
        <f t="shared" si="4"/>
        <v>9.9037499999999987</v>
      </c>
      <c r="U9" s="172">
        <f t="shared" si="4"/>
        <v>9.4125000000000014</v>
      </c>
      <c r="V9" s="172">
        <f t="shared" si="4"/>
        <v>162.36874999999998</v>
      </c>
      <c r="W9" s="172">
        <f t="shared" si="4"/>
        <v>586.04718750000006</v>
      </c>
      <c r="X9" s="172">
        <f t="shared" si="4"/>
        <v>4.1187500000000021</v>
      </c>
      <c r="Y9" s="172">
        <f t="shared" si="4"/>
        <v>4.1187500000000021</v>
      </c>
      <c r="Z9" s="172">
        <f t="shared" si="4"/>
        <v>1.5999999999999996</v>
      </c>
      <c r="AA9" s="172">
        <f t="shared" si="4"/>
        <v>1.1999999999999993</v>
      </c>
      <c r="AB9" s="172">
        <f>SUM(AB4:AB8)</f>
        <v>333.41500000000008</v>
      </c>
      <c r="AC9" s="172">
        <f>SUM(AC4:AC8)</f>
        <v>2316.3344999999999</v>
      </c>
      <c r="AD9" s="172">
        <f>SUM(AD4:AD8)</f>
        <v>29.157500000000013</v>
      </c>
      <c r="AE9" s="172">
        <f>SUM(AE4:AE8)</f>
        <v>12.487250000000003</v>
      </c>
      <c r="AF9" s="172">
        <f t="shared" ref="AF9:BA9" si="5">SUM(AF4:AF8)</f>
        <v>19.612500000000004</v>
      </c>
      <c r="AG9" s="172">
        <f t="shared" si="5"/>
        <v>33.853281250000009</v>
      </c>
      <c r="AH9" s="172">
        <f t="shared" si="5"/>
        <v>38.43</v>
      </c>
      <c r="AI9" s="172">
        <f t="shared" si="5"/>
        <v>251.95425000000003</v>
      </c>
      <c r="AJ9" s="172">
        <f t="shared" si="5"/>
        <v>32.660624999999996</v>
      </c>
      <c r="AK9" s="172">
        <f t="shared" si="5"/>
        <v>63.012625000000007</v>
      </c>
      <c r="AL9" s="172">
        <f t="shared" si="5"/>
        <v>320.54062500000003</v>
      </c>
      <c r="AM9" s="172">
        <f t="shared" si="5"/>
        <v>1573.944375</v>
      </c>
      <c r="AN9" s="172">
        <f t="shared" si="5"/>
        <v>4.1262500000000006</v>
      </c>
      <c r="AO9" s="172">
        <f t="shared" si="5"/>
        <v>11.506000000000002</v>
      </c>
      <c r="AP9" s="172">
        <f t="shared" si="5"/>
        <v>138.30000000000001</v>
      </c>
      <c r="AQ9" s="172">
        <f t="shared" si="5"/>
        <v>640.78187500000013</v>
      </c>
      <c r="AR9" s="172">
        <f t="shared" si="5"/>
        <v>37.793750000000003</v>
      </c>
      <c r="AS9" s="172">
        <f t="shared" si="5"/>
        <v>95.608124999999987</v>
      </c>
      <c r="AT9" s="172">
        <f t="shared" si="5"/>
        <v>9.9037499999999987</v>
      </c>
      <c r="AU9" s="172">
        <f t="shared" si="5"/>
        <v>9.4125000000000014</v>
      </c>
      <c r="AV9" s="172">
        <f t="shared" si="5"/>
        <v>162.36874999999998</v>
      </c>
      <c r="AW9" s="172">
        <f t="shared" si="5"/>
        <v>586.04718750000006</v>
      </c>
      <c r="AX9" s="172">
        <f t="shared" si="5"/>
        <v>4.1187500000000021</v>
      </c>
      <c r="AY9" s="172">
        <f t="shared" si="5"/>
        <v>4.1187500000000021</v>
      </c>
      <c r="AZ9" s="172">
        <f t="shared" si="5"/>
        <v>1.5999999999999996</v>
      </c>
      <c r="BA9" s="172">
        <f t="shared" si="5"/>
        <v>1.1999999999999993</v>
      </c>
      <c r="BB9" s="172"/>
      <c r="BC9" s="172"/>
      <c r="BD9" s="172"/>
      <c r="BE9" s="172"/>
      <c r="BF9" s="172"/>
    </row>
    <row r="10" spans="1:58" x14ac:dyDescent="0.25">
      <c r="A10" s="224" t="s">
        <v>150</v>
      </c>
      <c r="B10" s="224"/>
      <c r="C10" s="224"/>
      <c r="D10" s="62">
        <v>2013</v>
      </c>
      <c r="E10" s="51"/>
      <c r="F10" s="191">
        <v>2014</v>
      </c>
      <c r="G10" s="106"/>
      <c r="H10" s="225" t="s">
        <v>152</v>
      </c>
      <c r="I10" s="226"/>
      <c r="J10" s="226"/>
      <c r="K10" s="171"/>
      <c r="L10" s="3"/>
    </row>
    <row r="11" spans="1:58" s="160" customFormat="1" ht="45" x14ac:dyDescent="0.25">
      <c r="A11" s="160" t="s">
        <v>89</v>
      </c>
      <c r="B11" s="160" t="s">
        <v>87</v>
      </c>
      <c r="C11" s="160" t="s">
        <v>88</v>
      </c>
      <c r="D11" s="189" t="s">
        <v>146</v>
      </c>
      <c r="E11" s="190" t="s">
        <v>147</v>
      </c>
      <c r="F11" s="189" t="s">
        <v>149</v>
      </c>
      <c r="G11" s="190" t="s">
        <v>148</v>
      </c>
      <c r="H11" s="173" t="s">
        <v>151</v>
      </c>
      <c r="I11" s="173" t="s">
        <v>153</v>
      </c>
      <c r="J11" s="173"/>
      <c r="K11" s="173"/>
      <c r="L11" s="174"/>
      <c r="M11" s="174"/>
      <c r="N11" s="174"/>
      <c r="O11" s="174"/>
      <c r="P11" s="174"/>
    </row>
    <row r="12" spans="1:58" x14ac:dyDescent="0.25">
      <c r="A12" t="s">
        <v>94</v>
      </c>
      <c r="B12" s="110">
        <f>J9</f>
        <v>320.54062500000003</v>
      </c>
      <c r="C12" s="110">
        <f>K9</f>
        <v>1573.944375</v>
      </c>
      <c r="D12" s="54">
        <f>'G5'!AA10*('G5'!AF8-'G5'!AA8)+'G5'!AA7*('G5'!AF5-'G5'!AA5)</f>
        <v>233.75</v>
      </c>
      <c r="E12" s="75">
        <f>'G5'!AQ9-'G5'!AQ8</f>
        <v>955.625</v>
      </c>
      <c r="F12" s="64">
        <v>42.900000000000006</v>
      </c>
      <c r="G12" s="64">
        <v>131.21999999999997</v>
      </c>
      <c r="H12">
        <f>D12+F12</f>
        <v>276.64999999999998</v>
      </c>
      <c r="I12">
        <f>E12+G12</f>
        <v>1086.845</v>
      </c>
      <c r="L12" s="3"/>
      <c r="M12" s="74"/>
      <c r="N12" s="74"/>
      <c r="O12" s="3"/>
      <c r="P12" s="3"/>
    </row>
    <row r="13" spans="1:58" x14ac:dyDescent="0.25">
      <c r="A13" t="s">
        <v>95</v>
      </c>
      <c r="B13" s="110">
        <f>L9</f>
        <v>333.41500000000008</v>
      </c>
      <c r="C13" s="110">
        <f>M9</f>
        <v>2316.3344999999999</v>
      </c>
      <c r="D13" s="54">
        <f>'G6'!AS15*'G6'!AX13+'G6'!AS12*'G6'!AX10+'G6'!AS9*'G6'!AX7</f>
        <v>111.42</v>
      </c>
      <c r="E13" s="75">
        <f>'G6'!BP7+'G6'!BP6+'G6'!BP5+'G6'!BP4</f>
        <v>412.92225000000002</v>
      </c>
      <c r="F13" s="76">
        <v>0</v>
      </c>
      <c r="G13" s="75">
        <v>0</v>
      </c>
      <c r="H13">
        <f t="shared" ref="H13:H24" si="6">D13+F13</f>
        <v>111.42</v>
      </c>
      <c r="I13">
        <f t="shared" ref="I13:I24" si="7">E13+G13</f>
        <v>412.92225000000002</v>
      </c>
      <c r="L13" s="3"/>
      <c r="M13" s="74"/>
      <c r="N13" s="74"/>
      <c r="O13" s="3"/>
      <c r="P13" s="3"/>
    </row>
    <row r="14" spans="1:58" x14ac:dyDescent="0.25">
      <c r="A14" t="s">
        <v>92</v>
      </c>
      <c r="B14" s="110">
        <f>F9</f>
        <v>38.43</v>
      </c>
      <c r="C14" s="110">
        <f>G9</f>
        <v>251.95425000000003</v>
      </c>
      <c r="D14" s="54">
        <f>'G3'!AA19*('G3'!AF17-'G3'!AA17)+'G3'!AA16*('G3'!AF14-'G3'!AA14)+'G3'!AA13*('G3'!AF11-'G3'!AA11)+'G3'!AA10*('G3'!AF8-'G3'!AA8)</f>
        <v>109.5</v>
      </c>
      <c r="E14" s="75">
        <f>'G3'!AQ14-'G3'!AQ11</f>
        <v>146.42250000000001</v>
      </c>
      <c r="F14" s="76">
        <v>0</v>
      </c>
      <c r="G14" s="75">
        <v>0</v>
      </c>
      <c r="H14">
        <f t="shared" si="6"/>
        <v>109.5</v>
      </c>
      <c r="I14">
        <f t="shared" si="7"/>
        <v>146.42250000000001</v>
      </c>
      <c r="L14" s="3"/>
      <c r="M14" s="74"/>
      <c r="N14" s="74"/>
      <c r="O14" s="3"/>
      <c r="P14" s="3"/>
    </row>
    <row r="15" spans="1:58" x14ac:dyDescent="0.25">
      <c r="A15" t="s">
        <v>97</v>
      </c>
      <c r="B15" s="110">
        <f>P9</f>
        <v>138.30000000000001</v>
      </c>
      <c r="C15" s="110">
        <f>Q9</f>
        <v>640.78187500000013</v>
      </c>
      <c r="D15" s="54">
        <f>'G8'!AS22*'G8'!AX20+'G8'!U25*'G8'!AX23+'G8'!AS28*'G8'!AX26+'G8'!AS31*'G8'!AX29</f>
        <v>84.98</v>
      </c>
      <c r="E15" s="75">
        <f>'G8'!BM10+'G8'!BM11+'G8'!BM12+'G8'!BM13</f>
        <v>162.56184999999999</v>
      </c>
      <c r="F15" s="64">
        <v>27</v>
      </c>
      <c r="G15" s="64">
        <v>41.56</v>
      </c>
      <c r="H15">
        <f t="shared" si="6"/>
        <v>111.98</v>
      </c>
      <c r="I15">
        <f t="shared" si="7"/>
        <v>204.12184999999999</v>
      </c>
      <c r="L15" s="3"/>
      <c r="M15" s="74"/>
      <c r="N15" s="74"/>
      <c r="O15" s="3"/>
      <c r="P15" s="3"/>
    </row>
    <row r="16" spans="1:58" x14ac:dyDescent="0.25">
      <c r="A16" t="s">
        <v>100</v>
      </c>
      <c r="B16" s="110">
        <f>V9</f>
        <v>162.36874999999998</v>
      </c>
      <c r="C16" s="110">
        <f>W9</f>
        <v>586.04718750000006</v>
      </c>
      <c r="D16" s="54">
        <f>'G11'!AG14*('G11'!AG12-'G11'!AB12)+'G11'!AG11*('G11'!AG9-'G11'!AB9)</f>
        <v>54.259999999999991</v>
      </c>
      <c r="E16" s="75">
        <f>'G11'!AX7-'G11'!AX3</f>
        <v>508.05475000000013</v>
      </c>
      <c r="F16" s="64">
        <v>11.059999999999999</v>
      </c>
      <c r="G16" s="64">
        <v>36.546999999999997</v>
      </c>
      <c r="H16">
        <f t="shared" si="6"/>
        <v>65.319999999999993</v>
      </c>
      <c r="I16">
        <f t="shared" si="7"/>
        <v>544.60175000000015</v>
      </c>
      <c r="L16" s="3"/>
      <c r="M16" s="74"/>
      <c r="N16" s="74"/>
      <c r="O16" s="3"/>
      <c r="P16" s="3"/>
    </row>
    <row r="17" spans="1:16" x14ac:dyDescent="0.25">
      <c r="A17" t="s">
        <v>93</v>
      </c>
      <c r="B17" s="110">
        <f>H9</f>
        <v>32.660624999999996</v>
      </c>
      <c r="C17" s="110">
        <f>I9</f>
        <v>63.012625</v>
      </c>
      <c r="D17" s="54">
        <f>'G4'!AA10*('G4'!AF8-'G4'!AA8)+'G4'!AA7*('G4'!AF5-'G4'!AA5)</f>
        <v>25.020000000000003</v>
      </c>
      <c r="E17" s="75">
        <f>'G4'!AQ9-'G4'!AQ7</f>
        <v>40.271000000000001</v>
      </c>
      <c r="F17" s="64">
        <v>16.5</v>
      </c>
      <c r="G17" s="64">
        <v>20.824999999999999</v>
      </c>
      <c r="H17">
        <f t="shared" si="6"/>
        <v>41.52</v>
      </c>
      <c r="I17">
        <f t="shared" si="7"/>
        <v>61.096000000000004</v>
      </c>
      <c r="L17" s="3"/>
      <c r="M17" s="74"/>
      <c r="N17" s="74"/>
      <c r="O17" s="3"/>
      <c r="P17" s="3"/>
    </row>
    <row r="18" spans="1:16" x14ac:dyDescent="0.25">
      <c r="A18" t="s">
        <v>98</v>
      </c>
      <c r="B18" s="110">
        <f>R9</f>
        <v>37.793750000000003</v>
      </c>
      <c r="C18" s="110">
        <f>S9</f>
        <v>95.608124999999987</v>
      </c>
      <c r="D18" s="54">
        <f>'G9'!AA7*('G9'!AF5-'G9'!AA5)</f>
        <v>9.879999999999999</v>
      </c>
      <c r="E18" s="75">
        <f>'G9'!AQ6</f>
        <v>48.934499999999993</v>
      </c>
      <c r="F18" s="64">
        <v>7.0949999999999998</v>
      </c>
      <c r="G18" s="64">
        <v>24.448875000000001</v>
      </c>
      <c r="H18">
        <f t="shared" si="6"/>
        <v>16.974999999999998</v>
      </c>
      <c r="I18">
        <f t="shared" si="7"/>
        <v>73.383375000000001</v>
      </c>
      <c r="L18" s="3"/>
      <c r="M18" s="74"/>
      <c r="N18" s="74"/>
      <c r="O18" s="3"/>
      <c r="P18" s="3"/>
    </row>
    <row r="19" spans="1:16" x14ac:dyDescent="0.25">
      <c r="A19" t="s">
        <v>91</v>
      </c>
      <c r="B19" s="110">
        <f>D9</f>
        <v>19.612500000000004</v>
      </c>
      <c r="C19" s="110">
        <f>E9</f>
        <v>33.853281250000009</v>
      </c>
      <c r="D19" s="54">
        <f>'G2'!AA7*('G2'!AF5-'G2'!AA5)</f>
        <v>7.26</v>
      </c>
      <c r="E19" s="75">
        <f>'G2'!AN6+'G2'!AO6</f>
        <v>30.566250000000004</v>
      </c>
      <c r="F19" s="64">
        <v>0.8</v>
      </c>
      <c r="G19" s="64">
        <v>1.8131250000000001</v>
      </c>
      <c r="H19">
        <f t="shared" si="6"/>
        <v>8.06</v>
      </c>
      <c r="I19">
        <f t="shared" si="7"/>
        <v>32.379375000000003</v>
      </c>
      <c r="L19" s="3"/>
      <c r="M19" s="74"/>
      <c r="N19" s="74"/>
      <c r="O19" s="3"/>
      <c r="P19" s="3"/>
    </row>
    <row r="20" spans="1:16" x14ac:dyDescent="0.25">
      <c r="A20" t="s">
        <v>90</v>
      </c>
      <c r="B20" s="110">
        <f>B9</f>
        <v>29.157500000000013</v>
      </c>
      <c r="C20" s="110">
        <f>C9</f>
        <v>12.487250000000003</v>
      </c>
      <c r="D20" s="54">
        <f>'G1'!AA7*('G1'!AF5-'G1'!AA5)</f>
        <v>3.16</v>
      </c>
      <c r="E20" s="75">
        <f>'G1'!AQ6</f>
        <v>8.8650000000000002</v>
      </c>
      <c r="F20" s="76">
        <v>0</v>
      </c>
      <c r="G20" s="75">
        <v>0</v>
      </c>
      <c r="H20">
        <f t="shared" si="6"/>
        <v>3.16</v>
      </c>
      <c r="I20">
        <f t="shared" si="7"/>
        <v>8.8650000000000002</v>
      </c>
      <c r="L20" s="3"/>
      <c r="M20" s="74"/>
      <c r="N20" s="74"/>
      <c r="O20" s="3"/>
      <c r="P20" s="3"/>
    </row>
    <row r="21" spans="1:16" x14ac:dyDescent="0.25">
      <c r="A21" t="s">
        <v>99</v>
      </c>
      <c r="B21" s="110">
        <f>T9</f>
        <v>9.9037499999999987</v>
      </c>
      <c r="C21" s="110">
        <f>U9</f>
        <v>9.4125000000000014</v>
      </c>
      <c r="D21" s="54">
        <f>'G10'!U7*('G10'!Z5-'G10'!U5)</f>
        <v>2.0999999999999996</v>
      </c>
      <c r="E21" s="75">
        <f>'G10'!AK6</f>
        <v>5.9954999999999989</v>
      </c>
      <c r="F21" s="76">
        <v>0</v>
      </c>
      <c r="G21" s="75">
        <v>0</v>
      </c>
      <c r="H21">
        <f t="shared" si="6"/>
        <v>2.0999999999999996</v>
      </c>
      <c r="I21">
        <f t="shared" si="7"/>
        <v>5.9954999999999989</v>
      </c>
      <c r="L21" s="3"/>
      <c r="M21" s="74"/>
      <c r="N21" s="74"/>
      <c r="O21" s="3"/>
      <c r="P21" s="3"/>
    </row>
    <row r="22" spans="1:16" x14ac:dyDescent="0.25">
      <c r="A22" t="s">
        <v>96</v>
      </c>
      <c r="B22" s="110">
        <f>N9</f>
        <v>4.1262500000000006</v>
      </c>
      <c r="C22" s="110">
        <f>O9</f>
        <v>11.506000000000002</v>
      </c>
      <c r="D22" s="54">
        <f>'G7'!AA7*('G7'!AF5-'G7'!AA5)</f>
        <v>0.32000000000000006</v>
      </c>
      <c r="E22" s="75">
        <f>'G7'!AO8-'G7'!AO7</f>
        <v>0.8100000000000005</v>
      </c>
      <c r="F22" s="76">
        <v>0</v>
      </c>
      <c r="G22" s="75">
        <v>0</v>
      </c>
      <c r="H22">
        <f t="shared" si="6"/>
        <v>0.32000000000000006</v>
      </c>
      <c r="I22">
        <f t="shared" si="7"/>
        <v>0.8100000000000005</v>
      </c>
      <c r="L22" s="3"/>
      <c r="M22" s="74"/>
      <c r="N22" s="74"/>
      <c r="O22" s="3"/>
      <c r="P22" s="3"/>
    </row>
    <row r="23" spans="1:16" x14ac:dyDescent="0.25">
      <c r="A23" t="s">
        <v>101</v>
      </c>
      <c r="B23" s="110">
        <f>X9</f>
        <v>4.1187500000000021</v>
      </c>
      <c r="C23" s="110">
        <f>Y9</f>
        <v>4.1187500000000021</v>
      </c>
      <c r="D23" s="54">
        <v>0</v>
      </c>
      <c r="E23" s="75">
        <f>'G12'!AQ7-'G12'!AQ6</f>
        <v>0</v>
      </c>
      <c r="F23" s="76">
        <v>0</v>
      </c>
      <c r="G23" s="75">
        <v>0</v>
      </c>
      <c r="H23">
        <f t="shared" si="6"/>
        <v>0</v>
      </c>
      <c r="I23">
        <f t="shared" si="7"/>
        <v>0</v>
      </c>
      <c r="L23" s="3"/>
      <c r="M23" s="74"/>
      <c r="N23" s="74"/>
      <c r="O23" s="3"/>
      <c r="P23" s="3"/>
    </row>
    <row r="24" spans="1:16" ht="15.75" thickBot="1" x14ac:dyDescent="0.3">
      <c r="A24" t="s">
        <v>102</v>
      </c>
      <c r="B24" s="110">
        <f>Z9</f>
        <v>1.5999999999999996</v>
      </c>
      <c r="C24" s="110">
        <f>AA9</f>
        <v>1.1999999999999993</v>
      </c>
      <c r="D24" s="57">
        <v>0</v>
      </c>
      <c r="E24" s="80">
        <f>'G13'!AQ7-'G13'!AQ6</f>
        <v>0</v>
      </c>
      <c r="F24" s="64">
        <v>1.52</v>
      </c>
      <c r="G24" s="64">
        <v>2.4640000000000004</v>
      </c>
      <c r="H24">
        <f t="shared" si="6"/>
        <v>1.52</v>
      </c>
      <c r="I24">
        <f t="shared" si="7"/>
        <v>2.4640000000000004</v>
      </c>
      <c r="L24" s="3"/>
      <c r="M24" s="74"/>
      <c r="N24" s="74"/>
      <c r="O24" s="3"/>
      <c r="P24" s="3"/>
    </row>
    <row r="26" spans="1:16" x14ac:dyDescent="0.25">
      <c r="B26" s="110">
        <f>SUM(B12:B24)</f>
        <v>1132.0275000000001</v>
      </c>
      <c r="C26" s="110">
        <f>SUM(C12:C24)</f>
        <v>5600.2607187499998</v>
      </c>
      <c r="D26" s="110">
        <f>SUM(D12:D24)</f>
        <v>641.65</v>
      </c>
      <c r="E26" s="110">
        <f>SUM(E12:E24)</f>
        <v>2321.0286000000001</v>
      </c>
      <c r="F26" s="110">
        <f>SUM(F12:F24)</f>
        <v>106.875</v>
      </c>
      <c r="G26" s="110">
        <f t="shared" ref="G26:I26" si="8">SUM(G12:G24)</f>
        <v>258.87799999999999</v>
      </c>
      <c r="H26" s="110">
        <f>SUM(H12:H24)</f>
        <v>748.52499999999986</v>
      </c>
      <c r="I26" s="110">
        <f t="shared" si="8"/>
        <v>2579.9065999999998</v>
      </c>
      <c r="J26" s="110"/>
    </row>
    <row r="27" spans="1:16" x14ac:dyDescent="0.25">
      <c r="C27" s="110">
        <f>SUM(C12:C16)</f>
        <v>5369.0621874999997</v>
      </c>
      <c r="E27">
        <f>E26*1.21</f>
        <v>2808.444606</v>
      </c>
      <c r="H27">
        <f>H26*1.21</f>
        <v>905.71524999999986</v>
      </c>
      <c r="I27">
        <f>I26*1.21</f>
        <v>3121.6869859999997</v>
      </c>
      <c r="L27">
        <f>(SUM(E12:E16))/E26</f>
        <v>0.94164559195866882</v>
      </c>
    </row>
    <row r="28" spans="1:16" x14ac:dyDescent="0.25">
      <c r="C28">
        <f>C27/C26</f>
        <v>0.958716470025059</v>
      </c>
      <c r="F28" s="110"/>
    </row>
    <row r="30" spans="1:16" x14ac:dyDescent="0.25">
      <c r="B30" s="47"/>
      <c r="C30" s="47"/>
      <c r="D30" s="47"/>
    </row>
    <row r="31" spans="1:16" x14ac:dyDescent="0.25">
      <c r="I31" s="64"/>
    </row>
    <row r="32" spans="1:16" x14ac:dyDescent="0.25">
      <c r="I32" s="64"/>
    </row>
    <row r="33" spans="9:9" x14ac:dyDescent="0.25">
      <c r="I33" s="64"/>
    </row>
    <row r="34" spans="9:9" x14ac:dyDescent="0.25">
      <c r="I34" s="64"/>
    </row>
    <row r="35" spans="9:9" x14ac:dyDescent="0.25">
      <c r="I35" s="64"/>
    </row>
    <row r="36" spans="9:9" x14ac:dyDescent="0.25">
      <c r="I36" s="64"/>
    </row>
    <row r="37" spans="9:9" x14ac:dyDescent="0.25">
      <c r="I37" s="64"/>
    </row>
    <row r="38" spans="9:9" x14ac:dyDescent="0.25">
      <c r="I38" s="64"/>
    </row>
    <row r="39" spans="9:9" x14ac:dyDescent="0.25">
      <c r="I39" s="64"/>
    </row>
    <row r="40" spans="9:9" x14ac:dyDescent="0.25">
      <c r="I40" s="64"/>
    </row>
    <row r="41" spans="9:9" x14ac:dyDescent="0.25">
      <c r="I41" s="64"/>
    </row>
    <row r="42" spans="9:9" x14ac:dyDescent="0.25">
      <c r="I42" s="64"/>
    </row>
    <row r="43" spans="9:9" x14ac:dyDescent="0.25">
      <c r="I43" s="64"/>
    </row>
    <row r="44" spans="9:9" x14ac:dyDescent="0.25">
      <c r="I44" s="64"/>
    </row>
  </sheetData>
  <sortState ref="G13:I25">
    <sortCondition ref="G13"/>
  </sortState>
  <mergeCells count="15">
    <mergeCell ref="T1:U1"/>
    <mergeCell ref="V1:W1"/>
    <mergeCell ref="X1:Y1"/>
    <mergeCell ref="Z1:AA1"/>
    <mergeCell ref="B1:C1"/>
    <mergeCell ref="D1:E1"/>
    <mergeCell ref="F1:G1"/>
    <mergeCell ref="P1:Q1"/>
    <mergeCell ref="R1:S1"/>
    <mergeCell ref="A10:C10"/>
    <mergeCell ref="H10:J10"/>
    <mergeCell ref="H1:I1"/>
    <mergeCell ref="J1:K1"/>
    <mergeCell ref="N1:O1"/>
    <mergeCell ref="L1:M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U17"/>
  <sheetViews>
    <sheetView topLeftCell="B1" workbookViewId="0">
      <selection activeCell="Q6" sqref="Q6"/>
    </sheetView>
  </sheetViews>
  <sheetFormatPr defaultRowHeight="15" x14ac:dyDescent="0.25"/>
  <cols>
    <col min="2" max="2" width="10.7109375" bestFit="1" customWidth="1"/>
  </cols>
  <sheetData>
    <row r="3" spans="2:21" x14ac:dyDescent="0.25">
      <c r="C3" t="s">
        <v>90</v>
      </c>
      <c r="D3" t="s">
        <v>91</v>
      </c>
      <c r="E3" t="s">
        <v>92</v>
      </c>
      <c r="F3" t="s">
        <v>93</v>
      </c>
      <c r="G3" t="s">
        <v>94</v>
      </c>
      <c r="H3" t="s">
        <v>95</v>
      </c>
      <c r="I3" t="s">
        <v>96</v>
      </c>
      <c r="J3" t="s">
        <v>97</v>
      </c>
      <c r="K3" t="s">
        <v>98</v>
      </c>
      <c r="L3" t="s">
        <v>99</v>
      </c>
      <c r="M3" t="s">
        <v>100</v>
      </c>
      <c r="N3" t="s">
        <v>101</v>
      </c>
      <c r="O3" t="s">
        <v>102</v>
      </c>
      <c r="Q3" t="s">
        <v>145</v>
      </c>
      <c r="R3" t="s">
        <v>160</v>
      </c>
      <c r="S3" t="s">
        <v>145</v>
      </c>
      <c r="T3" t="s">
        <v>162</v>
      </c>
      <c r="U3" t="s">
        <v>160</v>
      </c>
    </row>
    <row r="4" spans="2:21" x14ac:dyDescent="0.25">
      <c r="B4" s="47">
        <v>41453</v>
      </c>
      <c r="C4">
        <f>'G1'!E9</f>
        <v>-3.72</v>
      </c>
      <c r="D4">
        <f>'G2'!E9</f>
        <v>-1.7</v>
      </c>
      <c r="E4">
        <f>'G3'!AQ23</f>
        <v>-0.65</v>
      </c>
      <c r="F4">
        <f>'G4'!F12</f>
        <v>-1.2</v>
      </c>
      <c r="G4">
        <f>'G5'!E12</f>
        <v>-4.3</v>
      </c>
      <c r="H4">
        <f>'G6'!C17</f>
        <v>3</v>
      </c>
      <c r="I4">
        <f>'G7'!F9</f>
        <v>-1.4</v>
      </c>
      <c r="J4">
        <f>'G8'!H18</f>
        <v>1.8</v>
      </c>
      <c r="K4">
        <f>'G9'!E9</f>
        <v>-1.6</v>
      </c>
      <c r="L4">
        <f>'G10'!F9</f>
        <v>-2.5</v>
      </c>
      <c r="M4">
        <f>'G11'!F7</f>
        <v>-4.3</v>
      </c>
      <c r="N4">
        <f>'G12'!E6</f>
        <v>-1.7</v>
      </c>
      <c r="O4">
        <f>'G13'!E6</f>
        <v>-1.1000000000000001</v>
      </c>
      <c r="Q4">
        <v>0</v>
      </c>
      <c r="R4">
        <v>0</v>
      </c>
      <c r="S4">
        <v>0</v>
      </c>
      <c r="T4">
        <v>0</v>
      </c>
      <c r="U4">
        <v>0</v>
      </c>
    </row>
    <row r="5" spans="2:21" x14ac:dyDescent="0.25">
      <c r="B5" s="47">
        <v>41476</v>
      </c>
      <c r="H5">
        <f>'G6'!I17</f>
        <v>3</v>
      </c>
      <c r="J5">
        <f>'G8'!I18</f>
        <v>1.8</v>
      </c>
      <c r="Q5">
        <v>0</v>
      </c>
      <c r="R5">
        <v>0</v>
      </c>
      <c r="S5">
        <v>18.3</v>
      </c>
      <c r="T5">
        <v>28.700000000000003</v>
      </c>
      <c r="U5">
        <v>28.700000000000003</v>
      </c>
    </row>
    <row r="6" spans="2:21" x14ac:dyDescent="0.25">
      <c r="B6" s="47">
        <v>41478</v>
      </c>
      <c r="C6">
        <f>'G1'!Q9</f>
        <v>-3.72</v>
      </c>
      <c r="D6">
        <f>'G2'!E9</f>
        <v>-1.7</v>
      </c>
      <c r="E6">
        <f>'G3'!AQ24</f>
        <v>-1</v>
      </c>
      <c r="F6">
        <f>'G4'!K12</f>
        <v>-1.74</v>
      </c>
      <c r="G6">
        <f>'G5'!L12</f>
        <v>-4.5</v>
      </c>
      <c r="H6">
        <f>'G6'!T17</f>
        <v>4.2</v>
      </c>
      <c r="I6">
        <f>'G7'!F9</f>
        <v>-1.4</v>
      </c>
      <c r="J6">
        <f>'G8'!T21</f>
        <v>1</v>
      </c>
      <c r="K6">
        <f>'G9'!K9</f>
        <v>-3</v>
      </c>
      <c r="L6">
        <f>'G10'!F9</f>
        <v>-2.5</v>
      </c>
      <c r="M6">
        <f>'G11'!L10</f>
        <v>-4.3</v>
      </c>
      <c r="N6">
        <f>'G12'!K6</f>
        <v>-1.7</v>
      </c>
      <c r="O6">
        <f>'G13'!E6</f>
        <v>-1.1000000000000001</v>
      </c>
      <c r="Q6">
        <v>15.399999999999999</v>
      </c>
      <c r="R6">
        <v>15.399999999999999</v>
      </c>
      <c r="S6">
        <v>16.899999999999999</v>
      </c>
      <c r="T6">
        <v>62.1</v>
      </c>
      <c r="U6">
        <v>90.800000000000011</v>
      </c>
    </row>
    <row r="7" spans="2:21" x14ac:dyDescent="0.25">
      <c r="B7" s="47">
        <v>41491</v>
      </c>
      <c r="C7">
        <f>'G1'!R9</f>
        <v>-3.72</v>
      </c>
      <c r="D7">
        <f>'G2'!Q9</f>
        <v>-2</v>
      </c>
      <c r="E7">
        <f>'G3'!AQ25</f>
        <v>-0.8</v>
      </c>
      <c r="F7">
        <f>'G4'!AR16</f>
        <v>-1.6</v>
      </c>
      <c r="G7">
        <f>'G5'!AQ18</f>
        <v>-4.0999999999999996</v>
      </c>
      <c r="H7">
        <f>'G6'!Z17</f>
        <v>4.4000000000000004</v>
      </c>
      <c r="I7">
        <f>'G7'!Q9</f>
        <v>-1.4</v>
      </c>
      <c r="J7">
        <f>'G8'!Z24</f>
        <v>1.3</v>
      </c>
      <c r="K7">
        <f>'G9'!R9</f>
        <v>-3.4</v>
      </c>
      <c r="L7">
        <f>'G10'!L9</f>
        <v>-2.5</v>
      </c>
      <c r="M7">
        <f>'G11'!R10</f>
        <v>-5.2</v>
      </c>
      <c r="N7">
        <f>'G12'!R6</f>
        <v>-1.7</v>
      </c>
      <c r="O7">
        <f>'G13'!R6</f>
        <v>-1.3</v>
      </c>
      <c r="Q7">
        <v>11.000000000000007</v>
      </c>
      <c r="R7">
        <v>26.400000000000006</v>
      </c>
      <c r="S7">
        <v>15.499999999999996</v>
      </c>
      <c r="T7">
        <v>58.899999999999991</v>
      </c>
      <c r="U7">
        <v>149.69999999999999</v>
      </c>
    </row>
    <row r="8" spans="2:21" x14ac:dyDescent="0.25">
      <c r="B8" s="47">
        <v>41499</v>
      </c>
      <c r="C8">
        <f>'G1'!W9</f>
        <v>-3.72</v>
      </c>
      <c r="D8">
        <f>'G2'!W6</f>
        <v>-1.8</v>
      </c>
      <c r="E8">
        <f>'G3'!AQ26</f>
        <v>-0.9</v>
      </c>
      <c r="F8">
        <f>'G4'!AR17</f>
        <v>-1.3</v>
      </c>
      <c r="G8">
        <f>'G5'!AQ19</f>
        <v>-4.3</v>
      </c>
      <c r="H8">
        <f>'G6'!AF14</f>
        <v>3</v>
      </c>
      <c r="I8">
        <f>'G7'!W9</f>
        <v>-1.4</v>
      </c>
      <c r="J8">
        <f>'G8'!AF27</f>
        <v>1.2</v>
      </c>
      <c r="K8">
        <f>'G9'!X6</f>
        <v>-1.6</v>
      </c>
      <c r="L8">
        <f>'G10'!R9</f>
        <v>-2.5</v>
      </c>
      <c r="M8">
        <f>'G11'!R10</f>
        <v>-5.2</v>
      </c>
      <c r="N8">
        <f>'G12'!X6</f>
        <v>-2</v>
      </c>
      <c r="O8">
        <f>'G13'!X6</f>
        <v>-1.3</v>
      </c>
      <c r="Q8">
        <v>42</v>
      </c>
      <c r="R8">
        <v>68.400000000000006</v>
      </c>
      <c r="S8">
        <v>94.100000000000023</v>
      </c>
      <c r="T8">
        <v>183.39999999999998</v>
      </c>
      <c r="U8">
        <v>333.09999999999997</v>
      </c>
    </row>
    <row r="9" spans="2:21" x14ac:dyDescent="0.25">
      <c r="B9" s="47">
        <v>41516</v>
      </c>
      <c r="C9">
        <f>'G1'!AD6</f>
        <v>-3.7</v>
      </c>
      <c r="D9">
        <f>'G2'!AC6</f>
        <v>-2.2000000000000002</v>
      </c>
      <c r="E9">
        <f>'G3'!AQ27</f>
        <v>-0.9</v>
      </c>
      <c r="F9">
        <f>'G4'!AR18</f>
        <v>-1.5</v>
      </c>
      <c r="G9">
        <f>'G5'!AQ20</f>
        <v>-3</v>
      </c>
      <c r="H9">
        <f>'G6'!AL11</f>
        <v>3.6</v>
      </c>
      <c r="I9">
        <f>'G7'!AD6</f>
        <v>-1.2</v>
      </c>
      <c r="J9">
        <f>'G8'!AL27</f>
        <v>1.6</v>
      </c>
      <c r="K9">
        <f>'G9'!AD6</f>
        <v>-3</v>
      </c>
      <c r="L9">
        <f>'G10'!X6</f>
        <v>-2.2999999999999998</v>
      </c>
      <c r="M9">
        <f>'G11'!AE13</f>
        <v>-4.5</v>
      </c>
      <c r="N9">
        <f>'G12'!AD6</f>
        <v>-2</v>
      </c>
      <c r="O9">
        <f>'G13'!AD6</f>
        <v>-1.4</v>
      </c>
      <c r="Q9">
        <v>28.400000000000006</v>
      </c>
      <c r="R9">
        <v>96.800000000000011</v>
      </c>
      <c r="S9">
        <v>10.299999999999999</v>
      </c>
      <c r="T9">
        <v>135.19999999999999</v>
      </c>
      <c r="U9">
        <v>468.29999999999995</v>
      </c>
    </row>
    <row r="10" spans="2:21" x14ac:dyDescent="0.25">
      <c r="B10" s="47">
        <v>41523</v>
      </c>
      <c r="H10">
        <f>'G6'!AM5</f>
        <v>2.8</v>
      </c>
      <c r="J10">
        <f>'G8'!AR30</f>
        <v>1.8</v>
      </c>
      <c r="Q10">
        <v>6.3999999999999488</v>
      </c>
      <c r="R10">
        <v>103.19999999999996</v>
      </c>
      <c r="S10">
        <v>30.9</v>
      </c>
      <c r="T10">
        <v>108.69999999999999</v>
      </c>
      <c r="U10">
        <v>577</v>
      </c>
    </row>
    <row r="11" spans="2:21" x14ac:dyDescent="0.25">
      <c r="B11" s="47">
        <v>41535</v>
      </c>
      <c r="H11">
        <f>'G6'!AX5</f>
        <v>2.8</v>
      </c>
      <c r="J11">
        <f>'G8'!AX30</f>
        <v>1.8</v>
      </c>
      <c r="Q11">
        <v>0</v>
      </c>
      <c r="R11">
        <v>103.19999999999996</v>
      </c>
      <c r="S11">
        <v>0</v>
      </c>
      <c r="T11">
        <v>0</v>
      </c>
      <c r="U11">
        <v>577</v>
      </c>
    </row>
    <row r="12" spans="2:21" x14ac:dyDescent="0.25">
      <c r="B12" t="s">
        <v>156</v>
      </c>
      <c r="C12" s="64">
        <f t="shared" ref="C12:O12" si="0">ABS(AVERAGE(C4:C11))</f>
        <v>3.7160000000000002</v>
      </c>
      <c r="D12" s="64">
        <f t="shared" si="0"/>
        <v>1.8800000000000001</v>
      </c>
      <c r="E12" s="64">
        <f t="shared" si="0"/>
        <v>0.85</v>
      </c>
      <c r="F12" s="64">
        <f t="shared" si="0"/>
        <v>1.468</v>
      </c>
      <c r="G12" s="64">
        <f t="shared" si="0"/>
        <v>4.04</v>
      </c>
      <c r="H12" s="64">
        <f t="shared" si="0"/>
        <v>3.3500000000000005</v>
      </c>
      <c r="I12" s="64">
        <f t="shared" si="0"/>
        <v>1.3599999999999999</v>
      </c>
      <c r="J12" s="64">
        <f t="shared" si="0"/>
        <v>1.5375000000000001</v>
      </c>
      <c r="K12" s="64">
        <f t="shared" si="0"/>
        <v>2.52</v>
      </c>
      <c r="L12" s="64">
        <f t="shared" si="0"/>
        <v>2.46</v>
      </c>
      <c r="M12" s="64">
        <f t="shared" si="0"/>
        <v>4.7</v>
      </c>
      <c r="N12" s="64">
        <f t="shared" si="0"/>
        <v>1.8199999999999998</v>
      </c>
      <c r="O12" s="64">
        <f t="shared" si="0"/>
        <v>1.2399999999999998</v>
      </c>
    </row>
    <row r="13" spans="2:21" x14ac:dyDescent="0.25">
      <c r="B13" s="47"/>
    </row>
    <row r="16" spans="2:21" x14ac:dyDescent="0.25"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2:12" x14ac:dyDescent="0.25">
      <c r="B17" s="47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A19" workbookViewId="0">
      <pane xSplit="1" topLeftCell="G1" activePane="topRight" state="frozen"/>
      <selection pane="topRight" activeCell="G31" sqref="G31"/>
    </sheetView>
  </sheetViews>
  <sheetFormatPr defaultRowHeight="15" x14ac:dyDescent="0.25"/>
  <cols>
    <col min="1" max="1" width="13.7109375" customWidth="1"/>
    <col min="2" max="2" width="16.7109375" customWidth="1"/>
    <col min="3" max="3" width="9.7109375" bestFit="1" customWidth="1"/>
    <col min="4" max="4" width="9.7109375" customWidth="1"/>
    <col min="5" max="5" width="9.7109375" bestFit="1" customWidth="1"/>
    <col min="7" max="8" width="9.7109375" bestFit="1" customWidth="1"/>
    <col min="9" max="9" width="9.7109375" customWidth="1"/>
    <col min="10" max="10" width="9.7109375" bestFit="1" customWidth="1"/>
  </cols>
  <sheetData>
    <row r="1" spans="1:24" s="160" customFormat="1" ht="60" x14ac:dyDescent="0.25">
      <c r="B1" s="202" t="s">
        <v>142</v>
      </c>
      <c r="C1" s="202">
        <v>41453</v>
      </c>
      <c r="D1" s="202">
        <v>41476</v>
      </c>
      <c r="E1" s="202">
        <v>41478</v>
      </c>
      <c r="F1" s="202">
        <v>41491</v>
      </c>
      <c r="G1" s="202">
        <v>41499</v>
      </c>
      <c r="H1" s="202">
        <v>41516</v>
      </c>
      <c r="I1" s="202">
        <v>41523</v>
      </c>
      <c r="J1" s="202">
        <v>41535</v>
      </c>
      <c r="K1" s="160" t="s">
        <v>163</v>
      </c>
      <c r="L1" s="160" t="s">
        <v>164</v>
      </c>
      <c r="M1" s="160" t="s">
        <v>165</v>
      </c>
      <c r="O1" s="160" t="s">
        <v>166</v>
      </c>
      <c r="P1" s="160" t="s">
        <v>167</v>
      </c>
      <c r="Q1" s="160" t="s">
        <v>168</v>
      </c>
      <c r="R1" s="160" t="s">
        <v>169</v>
      </c>
      <c r="S1" s="160" t="s">
        <v>170</v>
      </c>
      <c r="T1" s="160" t="s">
        <v>175</v>
      </c>
      <c r="U1" s="160" t="s">
        <v>176</v>
      </c>
      <c r="V1" s="160" t="s">
        <v>184</v>
      </c>
      <c r="W1" s="160" t="s">
        <v>185</v>
      </c>
      <c r="X1" s="160" t="s">
        <v>179</v>
      </c>
    </row>
    <row r="2" spans="1:24" x14ac:dyDescent="0.25">
      <c r="A2" t="s">
        <v>90</v>
      </c>
      <c r="B2" t="s">
        <v>90</v>
      </c>
      <c r="C2" s="198">
        <v>1.6</v>
      </c>
      <c r="D2" s="201">
        <v>1.6</v>
      </c>
      <c r="E2" s="198">
        <v>1.6</v>
      </c>
      <c r="F2" s="198">
        <v>1.6</v>
      </c>
      <c r="G2" s="198">
        <v>1.6</v>
      </c>
      <c r="H2" s="198">
        <v>2</v>
      </c>
      <c r="I2" s="201">
        <v>2</v>
      </c>
      <c r="J2" s="198">
        <v>2</v>
      </c>
      <c r="K2" s="63">
        <f>CORREL(D2:I2,$D$18:$I$18)</f>
        <v>-0.25448088531378682</v>
      </c>
      <c r="L2" s="63">
        <f>CORREL(D2:I2,$D$19:$I$19)</f>
        <v>0.34881184538848964</v>
      </c>
      <c r="M2" s="63">
        <f>CORREL(D2:J2,$D$20:$J$20)</f>
        <v>0.90224594367089495</v>
      </c>
      <c r="O2">
        <f>D2-C2</f>
        <v>0</v>
      </c>
      <c r="P2">
        <f t="shared" ref="P2:U2" si="0">E2-D2</f>
        <v>0</v>
      </c>
      <c r="Q2">
        <f t="shared" si="0"/>
        <v>0</v>
      </c>
      <c r="R2">
        <f t="shared" si="0"/>
        <v>0</v>
      </c>
      <c r="S2">
        <f t="shared" si="0"/>
        <v>0.39999999999999991</v>
      </c>
      <c r="T2">
        <f t="shared" si="0"/>
        <v>0</v>
      </c>
      <c r="U2">
        <f t="shared" si="0"/>
        <v>0</v>
      </c>
      <c r="V2" s="63">
        <f t="shared" ref="V2:V14" si="1">CORREL(O2:U2,$D$18:$J$18)</f>
        <v>-0.23009616453950574</v>
      </c>
      <c r="W2" s="63">
        <f>CORREL(O2:U2,$D$19:$J$19)</f>
        <v>0.36551525940688312</v>
      </c>
      <c r="X2" s="63">
        <v>0.61963460163679163</v>
      </c>
    </row>
    <row r="3" spans="1:24" x14ac:dyDescent="0.25">
      <c r="A3" t="s">
        <v>91</v>
      </c>
      <c r="B3" t="s">
        <v>91</v>
      </c>
      <c r="C3" s="198">
        <v>1.9</v>
      </c>
      <c r="D3" s="201">
        <v>1.9</v>
      </c>
      <c r="E3" s="198">
        <v>1.9</v>
      </c>
      <c r="F3" s="198">
        <v>1.9</v>
      </c>
      <c r="G3" s="198">
        <v>2.9</v>
      </c>
      <c r="H3" s="198">
        <v>4.0999999999999996</v>
      </c>
      <c r="I3" s="201">
        <v>4.0999999999999996</v>
      </c>
      <c r="J3" s="198">
        <v>4.0999999999999996</v>
      </c>
      <c r="K3" s="63">
        <f t="shared" ref="K3:K14" si="2">CORREL(D3:I3,$D$18:$I$18)</f>
        <v>0.10154272200179464</v>
      </c>
      <c r="L3" s="63">
        <f t="shared" ref="L3:L14" si="3">CORREL(D3:I3,$D$19:$I$19)</f>
        <v>0.64973181661000756</v>
      </c>
      <c r="M3" s="63">
        <f t="shared" ref="M3:M14" si="4">CORREL(D3:J3,$D$20:$J$20)</f>
        <v>0.97399501424325052</v>
      </c>
      <c r="O3">
        <f t="shared" ref="O3:O14" si="5">D3-C3</f>
        <v>0</v>
      </c>
      <c r="P3">
        <f t="shared" ref="P3:P14" si="6">E3-D3</f>
        <v>0</v>
      </c>
      <c r="Q3">
        <f t="shared" ref="Q3:Q14" si="7">F3-E3</f>
        <v>0</v>
      </c>
      <c r="R3">
        <f t="shared" ref="R3:R14" si="8">G3-F3</f>
        <v>1</v>
      </c>
      <c r="S3">
        <f t="shared" ref="S3:S14" si="9">H3-G3</f>
        <v>1.1999999999999997</v>
      </c>
      <c r="T3">
        <f t="shared" ref="T3:T14" si="10">I3-H3</f>
        <v>0</v>
      </c>
      <c r="U3">
        <f t="shared" ref="U3:U14" si="11">J3-I3</f>
        <v>0</v>
      </c>
      <c r="V3" s="63">
        <f t="shared" si="1"/>
        <v>0.47526485392658185</v>
      </c>
      <c r="W3" s="63">
        <f>CORREL(O3:U3,$D$19:$J$19)</f>
        <v>0.79674911312697783</v>
      </c>
      <c r="X3" s="63">
        <v>0.28111146589917962</v>
      </c>
    </row>
    <row r="4" spans="1:24" x14ac:dyDescent="0.25">
      <c r="A4" t="s">
        <v>92</v>
      </c>
      <c r="B4" t="s">
        <v>92</v>
      </c>
      <c r="C4" s="198">
        <v>8.1999999999999993</v>
      </c>
      <c r="D4" s="201">
        <v>8.1999999999999993</v>
      </c>
      <c r="E4" s="198">
        <v>18.2</v>
      </c>
      <c r="F4" s="198">
        <v>19.2</v>
      </c>
      <c r="G4" s="198">
        <v>29.2</v>
      </c>
      <c r="H4" s="198">
        <v>44.2</v>
      </c>
      <c r="I4" s="201">
        <v>44.2</v>
      </c>
      <c r="J4" s="198">
        <v>44.2</v>
      </c>
      <c r="K4" s="63">
        <f t="shared" si="2"/>
        <v>0.11341349482769762</v>
      </c>
      <c r="L4" s="63">
        <f t="shared" si="3"/>
        <v>0.69563997326618576</v>
      </c>
      <c r="M4" s="63">
        <f t="shared" si="4"/>
        <v>0.98010405437709991</v>
      </c>
      <c r="O4">
        <f t="shared" si="5"/>
        <v>0</v>
      </c>
      <c r="P4">
        <f t="shared" si="6"/>
        <v>10</v>
      </c>
      <c r="Q4">
        <f t="shared" si="7"/>
        <v>1</v>
      </c>
      <c r="R4">
        <f t="shared" si="8"/>
        <v>10</v>
      </c>
      <c r="S4">
        <f t="shared" si="9"/>
        <v>15.000000000000004</v>
      </c>
      <c r="T4">
        <f t="shared" si="10"/>
        <v>0</v>
      </c>
      <c r="U4">
        <f t="shared" si="11"/>
        <v>0</v>
      </c>
      <c r="V4" s="63">
        <f t="shared" si="1"/>
        <v>0.27284055104213417</v>
      </c>
      <c r="W4" s="63">
        <f t="shared" ref="W4:W14" si="12">CORREL(O4:U4,$D$19:$J$19)</f>
        <v>0.65056139085389375</v>
      </c>
      <c r="X4" s="63">
        <v>0.55385757132825642</v>
      </c>
    </row>
    <row r="5" spans="1:24" x14ac:dyDescent="0.25">
      <c r="A5" t="s">
        <v>93</v>
      </c>
      <c r="B5" t="s">
        <v>93</v>
      </c>
      <c r="C5" s="198">
        <v>1.2</v>
      </c>
      <c r="D5" s="201">
        <v>1.2</v>
      </c>
      <c r="E5" s="198">
        <v>1.2</v>
      </c>
      <c r="F5" s="198">
        <v>1.2</v>
      </c>
      <c r="G5" s="198">
        <v>5.6000000000000005</v>
      </c>
      <c r="H5" s="198">
        <v>8.2000000000000011</v>
      </c>
      <c r="I5" s="201">
        <v>8.2000000000000011</v>
      </c>
      <c r="J5" s="198">
        <v>8.2000000000000011</v>
      </c>
      <c r="K5" s="63">
        <f t="shared" si="2"/>
        <v>0.2389677242123546</v>
      </c>
      <c r="L5" s="63">
        <f t="shared" si="3"/>
        <v>0.7452463307078997</v>
      </c>
      <c r="M5" s="63">
        <f t="shared" si="4"/>
        <v>0.97382065296513576</v>
      </c>
      <c r="O5">
        <f t="shared" si="5"/>
        <v>0</v>
      </c>
      <c r="P5">
        <f t="shared" si="6"/>
        <v>0</v>
      </c>
      <c r="Q5">
        <f t="shared" si="7"/>
        <v>0</v>
      </c>
      <c r="R5">
        <f t="shared" si="8"/>
        <v>4.4000000000000004</v>
      </c>
      <c r="S5">
        <f t="shared" si="9"/>
        <v>2.6000000000000005</v>
      </c>
      <c r="T5">
        <f t="shared" si="10"/>
        <v>0</v>
      </c>
      <c r="U5">
        <f t="shared" si="11"/>
        <v>0</v>
      </c>
      <c r="V5" s="63">
        <f t="shared" si="1"/>
        <v>0.76295665930604095</v>
      </c>
      <c r="W5" s="63">
        <f t="shared" si="12"/>
        <v>0.85275466587350901</v>
      </c>
      <c r="X5" s="63">
        <v>4.6027935811024635E-2</v>
      </c>
    </row>
    <row r="6" spans="1:24" x14ac:dyDescent="0.25">
      <c r="A6" t="s">
        <v>94</v>
      </c>
      <c r="B6" t="s">
        <v>94</v>
      </c>
      <c r="C6" s="198">
        <v>5.2</v>
      </c>
      <c r="D6" s="201">
        <v>5.2</v>
      </c>
      <c r="E6" s="198">
        <v>5.2</v>
      </c>
      <c r="F6" s="198">
        <v>5.2</v>
      </c>
      <c r="G6" s="198">
        <v>12.7</v>
      </c>
      <c r="H6" s="198">
        <v>15.2</v>
      </c>
      <c r="I6" s="201">
        <v>15.2</v>
      </c>
      <c r="J6" s="198">
        <v>15.2</v>
      </c>
      <c r="K6" s="63">
        <f t="shared" si="2"/>
        <v>0.32839550419241798</v>
      </c>
      <c r="L6" s="63">
        <f t="shared" si="3"/>
        <v>0.80080554591764586</v>
      </c>
      <c r="M6" s="63">
        <f t="shared" si="4"/>
        <v>0.96402451882856699</v>
      </c>
      <c r="O6">
        <f t="shared" si="5"/>
        <v>0</v>
      </c>
      <c r="P6">
        <f t="shared" si="6"/>
        <v>0</v>
      </c>
      <c r="Q6">
        <f t="shared" si="7"/>
        <v>0</v>
      </c>
      <c r="R6">
        <f t="shared" si="8"/>
        <v>7.4999999999999991</v>
      </c>
      <c r="S6">
        <f t="shared" si="9"/>
        <v>2.5</v>
      </c>
      <c r="T6">
        <f t="shared" si="10"/>
        <v>0</v>
      </c>
      <c r="U6">
        <f t="shared" si="11"/>
        <v>0</v>
      </c>
      <c r="V6" s="63">
        <f t="shared" si="1"/>
        <v>0.87823066371794967</v>
      </c>
      <c r="W6" s="63">
        <f t="shared" si="12"/>
        <v>0.821205461894295</v>
      </c>
      <c r="X6" s="63">
        <v>9.2974421197830268E-3</v>
      </c>
    </row>
    <row r="7" spans="1:24" x14ac:dyDescent="0.25">
      <c r="A7" t="s">
        <v>95</v>
      </c>
      <c r="B7" t="s">
        <v>95</v>
      </c>
      <c r="C7" s="198">
        <v>4.0999999999999996</v>
      </c>
      <c r="D7" s="201">
        <v>4.0999999999999996</v>
      </c>
      <c r="E7" s="198">
        <v>4.0999999999999996</v>
      </c>
      <c r="F7" s="198">
        <v>4.0999999999999996</v>
      </c>
      <c r="G7" s="198">
        <v>10</v>
      </c>
      <c r="H7" s="199">
        <v>12.3</v>
      </c>
      <c r="I7" s="201">
        <v>16.2</v>
      </c>
      <c r="J7" s="198">
        <v>16.2</v>
      </c>
      <c r="K7" s="63">
        <f t="shared" si="2"/>
        <v>0.24567018667474128</v>
      </c>
      <c r="L7" s="63">
        <f t="shared" si="3"/>
        <v>0.66543747729469926</v>
      </c>
      <c r="M7" s="63">
        <f t="shared" si="4"/>
        <v>0.98558388390132923</v>
      </c>
      <c r="O7">
        <f t="shared" si="5"/>
        <v>0</v>
      </c>
      <c r="P7">
        <f t="shared" si="6"/>
        <v>0</v>
      </c>
      <c r="Q7">
        <f t="shared" si="7"/>
        <v>0</v>
      </c>
      <c r="R7">
        <f t="shared" si="8"/>
        <v>5.9</v>
      </c>
      <c r="S7">
        <f t="shared" si="9"/>
        <v>2.3000000000000007</v>
      </c>
      <c r="T7">
        <f t="shared" si="10"/>
        <v>3.8999999999999986</v>
      </c>
      <c r="U7">
        <f t="shared" si="11"/>
        <v>0</v>
      </c>
      <c r="V7" s="63">
        <f t="shared" si="1"/>
        <v>0.84356030354244893</v>
      </c>
      <c r="W7" s="63">
        <f t="shared" si="12"/>
        <v>0.89613438988449745</v>
      </c>
      <c r="X7" s="63">
        <v>1.7057627431458579E-2</v>
      </c>
    </row>
    <row r="8" spans="1:24" x14ac:dyDescent="0.25">
      <c r="A8" t="s">
        <v>96</v>
      </c>
      <c r="B8" t="s">
        <v>96</v>
      </c>
      <c r="C8" s="198">
        <v>1.6</v>
      </c>
      <c r="D8" s="201">
        <v>1.6</v>
      </c>
      <c r="E8" s="198">
        <v>1.6</v>
      </c>
      <c r="F8" s="198">
        <v>1.6</v>
      </c>
      <c r="G8" s="198">
        <v>1.6</v>
      </c>
      <c r="H8" s="199">
        <v>1.8</v>
      </c>
      <c r="I8" s="201">
        <v>1.8</v>
      </c>
      <c r="J8" s="198">
        <v>1.8</v>
      </c>
      <c r="K8" s="63">
        <f t="shared" si="2"/>
        <v>-0.25448088531378682</v>
      </c>
      <c r="L8" s="63">
        <f t="shared" si="3"/>
        <v>0.34881184538848964</v>
      </c>
      <c r="M8" s="63">
        <f t="shared" si="4"/>
        <v>0.90224594367089495</v>
      </c>
      <c r="O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0.19999999999999996</v>
      </c>
      <c r="T8">
        <f t="shared" si="10"/>
        <v>0</v>
      </c>
      <c r="U8">
        <f t="shared" si="11"/>
        <v>0</v>
      </c>
      <c r="V8" s="63">
        <f t="shared" si="1"/>
        <v>-0.23009616453950574</v>
      </c>
      <c r="W8" s="63">
        <f t="shared" si="12"/>
        <v>0.36551525940688312</v>
      </c>
      <c r="X8" s="63">
        <v>0.61963460163679163</v>
      </c>
    </row>
    <row r="9" spans="1:24" x14ac:dyDescent="0.25">
      <c r="A9" t="s">
        <v>97</v>
      </c>
      <c r="B9" t="s">
        <v>97</v>
      </c>
      <c r="C9" s="198">
        <v>8</v>
      </c>
      <c r="D9" s="201">
        <v>8</v>
      </c>
      <c r="E9" s="198">
        <v>13.4</v>
      </c>
      <c r="F9" s="198">
        <v>23.4</v>
      </c>
      <c r="G9" s="198">
        <v>29.4</v>
      </c>
      <c r="H9" s="199">
        <v>30.1</v>
      </c>
      <c r="I9" s="201">
        <v>32.4</v>
      </c>
      <c r="J9" s="198">
        <v>32.4</v>
      </c>
      <c r="K9" s="63">
        <f t="shared" si="2"/>
        <v>0.36483583449442136</v>
      </c>
      <c r="L9" s="63">
        <f t="shared" si="3"/>
        <v>0.79808555241473511</v>
      </c>
      <c r="M9" s="63">
        <f t="shared" si="4"/>
        <v>0.91890193500649608</v>
      </c>
      <c r="P9">
        <v>0</v>
      </c>
      <c r="Q9">
        <f t="shared" si="7"/>
        <v>9.9999999999999982</v>
      </c>
      <c r="R9">
        <f t="shared" si="8"/>
        <v>6</v>
      </c>
      <c r="S9">
        <f t="shared" si="9"/>
        <v>0.70000000000000284</v>
      </c>
      <c r="T9">
        <f t="shared" si="10"/>
        <v>2.2999999999999972</v>
      </c>
      <c r="U9">
        <f t="shared" si="11"/>
        <v>0</v>
      </c>
      <c r="V9" s="63">
        <f t="shared" si="1"/>
        <v>0.38936398009251227</v>
      </c>
      <c r="W9" s="63">
        <f t="shared" si="12"/>
        <v>0.22771889509575285</v>
      </c>
      <c r="X9" s="63">
        <v>0.36883397747652025</v>
      </c>
    </row>
    <row r="10" spans="1:24" x14ac:dyDescent="0.25">
      <c r="A10" t="s">
        <v>98</v>
      </c>
      <c r="B10" t="s">
        <v>98</v>
      </c>
      <c r="C10" s="198">
        <v>2.4</v>
      </c>
      <c r="D10" s="201">
        <v>2.4</v>
      </c>
      <c r="E10" s="198">
        <v>2.4</v>
      </c>
      <c r="F10" s="198">
        <v>2.4</v>
      </c>
      <c r="G10" s="198">
        <v>6.1999999999999993</v>
      </c>
      <c r="H10" s="198">
        <v>6.1999999999999993</v>
      </c>
      <c r="I10" s="201">
        <v>6.1999999999999993</v>
      </c>
      <c r="J10" s="198">
        <v>6.1999999999999993</v>
      </c>
      <c r="K10" s="63">
        <f t="shared" si="2"/>
        <v>0.48792822146097314</v>
      </c>
      <c r="L10" s="63">
        <f t="shared" si="3"/>
        <v>0.88518770024709403</v>
      </c>
      <c r="M10" s="63">
        <f t="shared" si="4"/>
        <v>0.92288335275770095</v>
      </c>
      <c r="O10">
        <v>0</v>
      </c>
      <c r="P10">
        <v>1</v>
      </c>
      <c r="Q10">
        <f t="shared" si="7"/>
        <v>0</v>
      </c>
      <c r="R10">
        <f t="shared" si="8"/>
        <v>3.7999999999999994</v>
      </c>
      <c r="S10">
        <f t="shared" si="9"/>
        <v>0</v>
      </c>
      <c r="T10">
        <f t="shared" si="10"/>
        <v>0</v>
      </c>
      <c r="U10">
        <f t="shared" si="11"/>
        <v>0</v>
      </c>
      <c r="V10" s="63">
        <f t="shared" si="1"/>
        <v>0.92754313145416978</v>
      </c>
      <c r="W10" s="63">
        <f t="shared" si="12"/>
        <v>0.66851505580038251</v>
      </c>
      <c r="X10" s="63">
        <v>2.60965646891989E-3</v>
      </c>
    </row>
    <row r="11" spans="1:24" x14ac:dyDescent="0.25">
      <c r="A11" t="s">
        <v>99</v>
      </c>
      <c r="B11" t="s">
        <v>99</v>
      </c>
      <c r="C11" s="198">
        <v>3</v>
      </c>
      <c r="D11" s="201">
        <v>3</v>
      </c>
      <c r="E11" s="198">
        <v>3</v>
      </c>
      <c r="F11" s="198">
        <v>3</v>
      </c>
      <c r="G11" s="198">
        <v>3</v>
      </c>
      <c r="H11" s="198">
        <v>3.7</v>
      </c>
      <c r="I11" s="201">
        <v>3.7</v>
      </c>
      <c r="J11" s="198">
        <v>3.7</v>
      </c>
      <c r="K11" s="63">
        <f t="shared" si="2"/>
        <v>-0.25448088531378682</v>
      </c>
      <c r="L11" s="63">
        <f t="shared" si="3"/>
        <v>0.34881184538848964</v>
      </c>
      <c r="M11" s="63">
        <f t="shared" si="4"/>
        <v>0.90224594367089472</v>
      </c>
      <c r="O11">
        <f t="shared" si="5"/>
        <v>0</v>
      </c>
      <c r="P11">
        <f t="shared" si="6"/>
        <v>0</v>
      </c>
      <c r="Q11">
        <f t="shared" si="7"/>
        <v>0</v>
      </c>
      <c r="R11">
        <f t="shared" si="8"/>
        <v>0</v>
      </c>
      <c r="S11">
        <f t="shared" si="9"/>
        <v>0.70000000000000018</v>
      </c>
      <c r="T11">
        <f t="shared" si="10"/>
        <v>0</v>
      </c>
      <c r="U11">
        <f t="shared" si="11"/>
        <v>0</v>
      </c>
      <c r="V11" s="63">
        <f t="shared" si="1"/>
        <v>-0.23009616453950565</v>
      </c>
      <c r="W11" s="63">
        <f t="shared" si="12"/>
        <v>0.36551525940688312</v>
      </c>
      <c r="X11" s="63">
        <v>0.6196346016367924</v>
      </c>
    </row>
    <row r="12" spans="1:24" x14ac:dyDescent="0.25">
      <c r="A12" t="s">
        <v>100</v>
      </c>
      <c r="B12" t="s">
        <v>100</v>
      </c>
      <c r="C12" s="198">
        <v>5.4</v>
      </c>
      <c r="D12" s="201">
        <v>5.4</v>
      </c>
      <c r="E12" s="198">
        <v>5.4</v>
      </c>
      <c r="F12" s="198">
        <v>5.4</v>
      </c>
      <c r="G12" s="198">
        <v>8.8000000000000007</v>
      </c>
      <c r="H12" s="198">
        <v>11.6</v>
      </c>
      <c r="I12" s="201">
        <v>11.6</v>
      </c>
      <c r="J12" s="198">
        <v>11.6</v>
      </c>
      <c r="K12" s="63">
        <f t="shared" si="2"/>
        <v>0.17666720884411605</v>
      </c>
      <c r="L12" s="63">
        <f t="shared" si="3"/>
        <v>0.70341376865207028</v>
      </c>
      <c r="M12" s="63">
        <f t="shared" si="4"/>
        <v>0.97598751160700092</v>
      </c>
      <c r="O12">
        <f t="shared" si="5"/>
        <v>0</v>
      </c>
      <c r="P12">
        <f t="shared" si="6"/>
        <v>0</v>
      </c>
      <c r="Q12">
        <f t="shared" si="7"/>
        <v>0</v>
      </c>
      <c r="R12">
        <f t="shared" si="8"/>
        <v>3.4000000000000004</v>
      </c>
      <c r="S12">
        <f t="shared" si="9"/>
        <v>2.7999999999999989</v>
      </c>
      <c r="T12">
        <f t="shared" si="10"/>
        <v>0</v>
      </c>
      <c r="U12">
        <f t="shared" si="11"/>
        <v>0</v>
      </c>
      <c r="V12" s="63">
        <f t="shared" si="1"/>
        <v>0.64606248021347945</v>
      </c>
      <c r="W12" s="63">
        <f t="shared" si="12"/>
        <v>0.84436279785060919</v>
      </c>
      <c r="X12" s="63">
        <v>0.11695966383318289</v>
      </c>
    </row>
    <row r="13" spans="1:24" x14ac:dyDescent="0.25">
      <c r="A13" t="s">
        <v>101</v>
      </c>
      <c r="B13" t="s">
        <v>101</v>
      </c>
      <c r="C13" s="198">
        <v>2</v>
      </c>
      <c r="D13" s="201">
        <v>2</v>
      </c>
      <c r="E13" s="198">
        <v>2</v>
      </c>
      <c r="F13" s="198">
        <v>2</v>
      </c>
      <c r="G13" s="198">
        <v>2</v>
      </c>
      <c r="H13" s="198">
        <v>2</v>
      </c>
      <c r="I13" s="201">
        <v>2.1</v>
      </c>
      <c r="J13" s="198">
        <v>2.1</v>
      </c>
      <c r="K13" s="63">
        <f t="shared" si="2"/>
        <v>-1.5475754203225186E-3</v>
      </c>
      <c r="L13" s="63">
        <f t="shared" si="3"/>
        <v>0.10723801028030301</v>
      </c>
      <c r="M13" s="63">
        <f t="shared" si="4"/>
        <v>0.76598340041602109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  <c r="T13">
        <f t="shared" si="10"/>
        <v>0.10000000000000009</v>
      </c>
      <c r="U13">
        <f t="shared" si="11"/>
        <v>0</v>
      </c>
      <c r="V13" s="63">
        <f t="shared" si="1"/>
        <v>6.1210832182151162E-2</v>
      </c>
      <c r="W13" s="63">
        <f t="shared" si="12"/>
        <v>0.18196604278539741</v>
      </c>
      <c r="X13" s="63">
        <v>0.89627982650747651</v>
      </c>
    </row>
    <row r="14" spans="1:24" x14ac:dyDescent="0.25">
      <c r="A14" t="s">
        <v>102</v>
      </c>
      <c r="B14" t="s">
        <v>102</v>
      </c>
      <c r="C14" s="198">
        <v>1.5</v>
      </c>
      <c r="D14" s="201">
        <v>1.5</v>
      </c>
      <c r="E14" s="198">
        <v>1.5</v>
      </c>
      <c r="F14" s="198">
        <v>1.5</v>
      </c>
      <c r="G14" s="198">
        <v>1.5</v>
      </c>
      <c r="H14" s="198">
        <v>1.5</v>
      </c>
      <c r="I14" s="201">
        <v>1.6</v>
      </c>
      <c r="J14" s="198">
        <v>1.6</v>
      </c>
      <c r="K14" s="63">
        <f t="shared" si="2"/>
        <v>-1.5475754203225186E-3</v>
      </c>
      <c r="L14" s="63">
        <f t="shared" si="3"/>
        <v>0.10723801028030301</v>
      </c>
      <c r="M14" s="63">
        <f t="shared" si="4"/>
        <v>0.76598340041602109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  <c r="T14">
        <f t="shared" si="10"/>
        <v>0.10000000000000009</v>
      </c>
      <c r="U14">
        <f t="shared" si="11"/>
        <v>0</v>
      </c>
      <c r="V14" s="63">
        <f t="shared" si="1"/>
        <v>6.1210832182151162E-2</v>
      </c>
      <c r="W14" s="63">
        <f t="shared" si="12"/>
        <v>0.18196604278539741</v>
      </c>
      <c r="X14" s="63">
        <v>0.89627982650747651</v>
      </c>
    </row>
    <row r="15" spans="1:24" x14ac:dyDescent="0.25">
      <c r="B15" t="s">
        <v>183</v>
      </c>
      <c r="C15">
        <f>SUM(C2:C14)</f>
        <v>46.099999999999994</v>
      </c>
      <c r="D15">
        <f>SUM(D2:D14)</f>
        <v>46.099999999999994</v>
      </c>
      <c r="E15">
        <f t="shared" ref="E15:J15" si="13">SUM(E2:E14)</f>
        <v>61.499999999999993</v>
      </c>
      <c r="F15">
        <f t="shared" si="13"/>
        <v>72.5</v>
      </c>
      <c r="G15">
        <f t="shared" si="13"/>
        <v>114.5</v>
      </c>
      <c r="H15">
        <f t="shared" si="13"/>
        <v>142.9</v>
      </c>
      <c r="I15">
        <f t="shared" si="13"/>
        <v>149.29999999999995</v>
      </c>
      <c r="J15">
        <f t="shared" si="13"/>
        <v>149.29999999999995</v>
      </c>
      <c r="K15" s="63">
        <f>AVERAGE(K2:K14)</f>
        <v>9.9298699225116263E-2</v>
      </c>
      <c r="L15" s="63">
        <f t="shared" ref="L15:M15" si="14">AVERAGE(L2:L14)</f>
        <v>0.55418920937203175</v>
      </c>
      <c r="M15" s="63">
        <f t="shared" si="14"/>
        <v>0.91800042734856191</v>
      </c>
      <c r="N15" t="s">
        <v>145</v>
      </c>
      <c r="U15" t="s">
        <v>156</v>
      </c>
      <c r="V15" s="63">
        <f>AVERAGE(V2:V14)</f>
        <v>0.35599659954162327</v>
      </c>
      <c r="W15" s="63">
        <f t="shared" ref="W15" si="15">AVERAGE(W2:W14)</f>
        <v>0.55526766416702777</v>
      </c>
      <c r="X15" s="63"/>
    </row>
    <row r="16" spans="1:24" x14ac:dyDescent="0.25">
      <c r="A16" s="224" t="s">
        <v>161</v>
      </c>
      <c r="B16" t="s">
        <v>145</v>
      </c>
      <c r="C16">
        <v>0</v>
      </c>
      <c r="D16">
        <f>D15-C15</f>
        <v>0</v>
      </c>
      <c r="E16">
        <f t="shared" ref="E16:J16" si="16">E15-D15</f>
        <v>15.399999999999999</v>
      </c>
      <c r="F16">
        <f t="shared" si="16"/>
        <v>11.000000000000007</v>
      </c>
      <c r="G16">
        <f t="shared" si="16"/>
        <v>42</v>
      </c>
      <c r="H16">
        <f t="shared" si="16"/>
        <v>28.400000000000006</v>
      </c>
      <c r="I16">
        <f t="shared" si="16"/>
        <v>6.3999999999999488</v>
      </c>
      <c r="J16">
        <f t="shared" si="16"/>
        <v>0</v>
      </c>
      <c r="L16" t="s">
        <v>56</v>
      </c>
      <c r="M16" t="s">
        <v>144</v>
      </c>
      <c r="U16" t="s">
        <v>181</v>
      </c>
      <c r="V16" s="63">
        <f>STDEV(V2:V14)</f>
        <v>0.4390739910454442</v>
      </c>
      <c r="W16" s="63">
        <f>STDEV(W2:W14)</f>
        <v>0.27886989622161223</v>
      </c>
    </row>
    <row r="17" spans="1:13" x14ac:dyDescent="0.25">
      <c r="A17" s="224"/>
      <c r="B17" t="s">
        <v>182</v>
      </c>
      <c r="C17">
        <f>C16</f>
        <v>0</v>
      </c>
      <c r="D17">
        <f>C17+D16</f>
        <v>0</v>
      </c>
      <c r="E17">
        <f t="shared" ref="E17:J17" si="17">D17+E16</f>
        <v>15.399999999999999</v>
      </c>
      <c r="F17">
        <f t="shared" si="17"/>
        <v>26.400000000000006</v>
      </c>
      <c r="G17">
        <f t="shared" si="17"/>
        <v>68.400000000000006</v>
      </c>
      <c r="H17">
        <f t="shared" si="17"/>
        <v>96.800000000000011</v>
      </c>
      <c r="I17">
        <f t="shared" si="17"/>
        <v>103.19999999999996</v>
      </c>
      <c r="J17">
        <f t="shared" si="17"/>
        <v>103.19999999999996</v>
      </c>
      <c r="L17">
        <f>CORREL(C16:J16,C18:J18)</f>
        <v>0.76087936227064712</v>
      </c>
      <c r="M17">
        <f>L17^2</f>
        <v>0.57893740392938664</v>
      </c>
    </row>
    <row r="18" spans="1:13" x14ac:dyDescent="0.25">
      <c r="A18" s="224" t="s">
        <v>141</v>
      </c>
      <c r="B18" t="s">
        <v>145</v>
      </c>
      <c r="C18">
        <v>0</v>
      </c>
      <c r="D18">
        <v>18.3</v>
      </c>
      <c r="E18">
        <v>16.899999999999999</v>
      </c>
      <c r="F18">
        <v>15.499999999999996</v>
      </c>
      <c r="G18">
        <v>94.100000000000023</v>
      </c>
      <c r="H18">
        <v>10.299999999999999</v>
      </c>
      <c r="I18">
        <v>30.9</v>
      </c>
      <c r="J18">
        <v>0</v>
      </c>
      <c r="L18">
        <f>CORREL(C16:J16,C19:J19)</f>
        <v>0.90876068492852735</v>
      </c>
      <c r="M18">
        <f t="shared" ref="M18:M19" si="18">L18^2</f>
        <v>0.8258459824717661</v>
      </c>
    </row>
    <row r="19" spans="1:13" x14ac:dyDescent="0.25">
      <c r="A19" s="224"/>
      <c r="B19" t="s">
        <v>162</v>
      </c>
      <c r="C19">
        <v>0</v>
      </c>
      <c r="D19">
        <v>28.700000000000003</v>
      </c>
      <c r="E19">
        <v>62.1</v>
      </c>
      <c r="F19">
        <v>58.899999999999991</v>
      </c>
      <c r="G19">
        <v>183.39999999999998</v>
      </c>
      <c r="H19">
        <v>135.19999999999999</v>
      </c>
      <c r="I19">
        <v>108.69999999999999</v>
      </c>
      <c r="J19">
        <v>0</v>
      </c>
      <c r="L19">
        <f>CORREL(C17:J17,C20:J20)</f>
        <v>0.99339104482331808</v>
      </c>
      <c r="M19">
        <f t="shared" si="18"/>
        <v>0.98682576793516352</v>
      </c>
    </row>
    <row r="20" spans="1:13" x14ac:dyDescent="0.25">
      <c r="A20" s="224"/>
      <c r="B20" t="s">
        <v>182</v>
      </c>
      <c r="C20">
        <v>0</v>
      </c>
      <c r="D20">
        <v>28.700000000000003</v>
      </c>
      <c r="E20">
        <v>90.800000000000011</v>
      </c>
      <c r="F20">
        <v>149.69999999999999</v>
      </c>
      <c r="G20">
        <v>333.09999999999997</v>
      </c>
      <c r="H20">
        <v>468.29999999999995</v>
      </c>
      <c r="I20">
        <v>577</v>
      </c>
      <c r="J20">
        <v>577</v>
      </c>
    </row>
    <row r="33" spans="3:15" x14ac:dyDescent="0.25"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</row>
    <row r="34" spans="3:15" x14ac:dyDescent="0.25"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</row>
    <row r="35" spans="3:15" x14ac:dyDescent="0.25">
      <c r="C35" s="214"/>
      <c r="D35" s="214"/>
      <c r="E35" s="214"/>
      <c r="F35" s="215"/>
      <c r="G35" s="215"/>
      <c r="H35" s="215"/>
      <c r="I35" s="214"/>
      <c r="J35" s="214"/>
      <c r="K35" s="215"/>
      <c r="L35" s="214"/>
      <c r="M35" s="214"/>
      <c r="N35" s="214"/>
      <c r="O35" s="214"/>
    </row>
  </sheetData>
  <mergeCells count="2">
    <mergeCell ref="A16:A17"/>
    <mergeCell ref="A18:A20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37"/>
  <sheetViews>
    <sheetView topLeftCell="A25" workbookViewId="0">
      <selection activeCell="M41" sqref="M41"/>
    </sheetView>
  </sheetViews>
  <sheetFormatPr defaultRowHeight="15" x14ac:dyDescent="0.25"/>
  <cols>
    <col min="2" max="3" width="9.7109375" bestFit="1" customWidth="1"/>
    <col min="4" max="5" width="9.7109375" customWidth="1"/>
    <col min="6" max="6" width="9.7109375" bestFit="1" customWidth="1"/>
    <col min="7" max="8" width="9.7109375" customWidth="1"/>
    <col min="9" max="9" width="9.28515625" bestFit="1" customWidth="1"/>
    <col min="10" max="11" width="9.28515625" customWidth="1"/>
    <col min="12" max="12" width="9.7109375" bestFit="1" customWidth="1"/>
    <col min="13" max="14" width="9.7109375" customWidth="1"/>
    <col min="15" max="15" width="9.7109375" bestFit="1" customWidth="1"/>
    <col min="16" max="25" width="9.7109375" customWidth="1"/>
    <col min="27" max="29" width="9.7109375" bestFit="1" customWidth="1"/>
    <col min="31" max="32" width="9.7109375" bestFit="1" customWidth="1"/>
    <col min="33" max="33" width="9.7109375" customWidth="1"/>
  </cols>
  <sheetData>
    <row r="1" spans="2:33" s="47" customFormat="1" ht="16.5" customHeight="1" x14ac:dyDescent="0.25">
      <c r="B1" s="47" t="s">
        <v>142</v>
      </c>
      <c r="C1" s="227">
        <v>41453</v>
      </c>
      <c r="D1" s="227"/>
      <c r="E1" s="227"/>
      <c r="F1" s="227">
        <v>41478</v>
      </c>
      <c r="G1" s="227"/>
      <c r="H1" s="227"/>
      <c r="I1" s="227">
        <v>41491</v>
      </c>
      <c r="J1" s="227"/>
      <c r="K1" s="227"/>
      <c r="L1" s="227">
        <v>41495</v>
      </c>
      <c r="M1" s="227"/>
      <c r="N1" s="227"/>
      <c r="O1" s="227">
        <v>41516</v>
      </c>
      <c r="P1" s="227"/>
      <c r="Q1" s="227"/>
      <c r="R1" s="196"/>
      <c r="S1" s="196">
        <v>41535</v>
      </c>
      <c r="T1" s="196"/>
    </row>
    <row r="2" spans="2:33" x14ac:dyDescent="0.25">
      <c r="B2" s="183" t="s">
        <v>141</v>
      </c>
      <c r="C2" s="224">
        <v>0</v>
      </c>
      <c r="D2" s="224"/>
      <c r="E2" s="224"/>
      <c r="F2" s="224">
        <v>87.6</v>
      </c>
      <c r="G2" s="224"/>
      <c r="H2" s="224"/>
      <c r="I2" s="224">
        <v>37.099999999999987</v>
      </c>
      <c r="J2" s="224"/>
      <c r="K2" s="224"/>
      <c r="L2" s="224">
        <v>175.39999999999998</v>
      </c>
      <c r="M2" s="224"/>
      <c r="N2" s="224"/>
      <c r="O2" s="224">
        <v>142.39999999999995</v>
      </c>
      <c r="P2" s="224"/>
      <c r="Q2" s="224"/>
      <c r="R2" s="195"/>
      <c r="S2" s="195"/>
      <c r="T2" s="195"/>
      <c r="U2" s="185"/>
      <c r="V2" s="185"/>
      <c r="W2" s="185"/>
      <c r="X2" s="185"/>
      <c r="Y2" s="183"/>
      <c r="Z2" s="183"/>
      <c r="AB2" s="198"/>
      <c r="AC2" s="198"/>
      <c r="AD2" s="198"/>
      <c r="AE2" s="198"/>
      <c r="AF2" s="198"/>
    </row>
    <row r="3" spans="2:33" x14ac:dyDescent="0.25">
      <c r="C3" s="185" t="s">
        <v>10</v>
      </c>
      <c r="D3" s="185" t="s">
        <v>140</v>
      </c>
      <c r="E3" s="185" t="s">
        <v>12</v>
      </c>
      <c r="F3" s="185" t="s">
        <v>10</v>
      </c>
      <c r="G3" s="185" t="s">
        <v>140</v>
      </c>
      <c r="H3" s="185" t="s">
        <v>12</v>
      </c>
      <c r="I3" s="185" t="s">
        <v>10</v>
      </c>
      <c r="J3" s="185" t="s">
        <v>140</v>
      </c>
      <c r="K3" s="185" t="s">
        <v>12</v>
      </c>
      <c r="L3" s="185" t="s">
        <v>10</v>
      </c>
      <c r="M3" s="185" t="s">
        <v>140</v>
      </c>
      <c r="N3" s="185" t="s">
        <v>12</v>
      </c>
      <c r="O3" s="185" t="s">
        <v>10</v>
      </c>
      <c r="P3" s="185" t="s">
        <v>140</v>
      </c>
      <c r="Q3" s="185" t="s">
        <v>12</v>
      </c>
      <c r="R3" s="198" t="s">
        <v>10</v>
      </c>
      <c r="S3" s="198" t="s">
        <v>140</v>
      </c>
      <c r="T3" s="198" t="s">
        <v>12</v>
      </c>
      <c r="U3" s="185"/>
      <c r="V3" s="185"/>
      <c r="W3" s="185"/>
      <c r="X3" s="185"/>
      <c r="Y3" s="185"/>
      <c r="AB3" s="198"/>
      <c r="AC3" s="198"/>
      <c r="AD3" s="198"/>
      <c r="AE3" s="198"/>
      <c r="AF3" s="198"/>
      <c r="AG3" s="195"/>
    </row>
    <row r="4" spans="2:33" x14ac:dyDescent="0.25">
      <c r="B4" t="s">
        <v>90</v>
      </c>
      <c r="C4" s="183">
        <v>8.1999999999999993</v>
      </c>
      <c r="D4" s="183">
        <v>3.72</v>
      </c>
      <c r="E4" s="183">
        <v>1.6</v>
      </c>
      <c r="F4" s="183">
        <v>8.35</v>
      </c>
      <c r="G4" s="183">
        <v>3.72</v>
      </c>
      <c r="H4" s="183">
        <v>1.6</v>
      </c>
      <c r="I4" s="183">
        <v>8.5</v>
      </c>
      <c r="J4" s="183">
        <v>3.72</v>
      </c>
      <c r="K4" s="183">
        <v>1.6</v>
      </c>
      <c r="L4" s="183">
        <v>8.5</v>
      </c>
      <c r="M4" s="183">
        <v>3.72</v>
      </c>
      <c r="N4" s="183">
        <v>1.6</v>
      </c>
      <c r="O4" s="183">
        <v>8.5</v>
      </c>
      <c r="P4" s="183">
        <v>3.7</v>
      </c>
      <c r="Q4" s="183">
        <v>2</v>
      </c>
      <c r="R4" s="195"/>
      <c r="S4" s="195"/>
      <c r="T4" s="195"/>
      <c r="U4" s="185"/>
      <c r="V4" s="185"/>
      <c r="W4" s="185"/>
      <c r="X4" s="192"/>
      <c r="Y4" s="183"/>
      <c r="AB4" s="198"/>
      <c r="AC4" s="198"/>
      <c r="AD4" s="198"/>
      <c r="AE4" s="198"/>
      <c r="AF4" s="198"/>
      <c r="AG4" s="195"/>
    </row>
    <row r="5" spans="2:33" x14ac:dyDescent="0.25">
      <c r="B5" t="s">
        <v>91</v>
      </c>
      <c r="C5" s="183">
        <v>3.1500000000000004</v>
      </c>
      <c r="D5" s="183">
        <v>1.7</v>
      </c>
      <c r="E5" s="183">
        <v>1.9</v>
      </c>
      <c r="F5" s="183">
        <v>3.3000000000000003</v>
      </c>
      <c r="G5" s="183">
        <v>1.7</v>
      </c>
      <c r="H5" s="183">
        <v>1.9</v>
      </c>
      <c r="I5" s="183">
        <v>3.45</v>
      </c>
      <c r="J5" s="183">
        <v>2</v>
      </c>
      <c r="K5" s="183">
        <v>1.9</v>
      </c>
      <c r="L5" s="183">
        <v>4.05</v>
      </c>
      <c r="M5" s="183">
        <v>1.8</v>
      </c>
      <c r="N5" s="183">
        <v>2.9</v>
      </c>
      <c r="O5" s="183">
        <v>5.0999999999999996</v>
      </c>
      <c r="P5" s="183">
        <v>2.2000000000000002</v>
      </c>
      <c r="Q5" s="183">
        <v>4.0999999999999996</v>
      </c>
      <c r="R5" s="195"/>
      <c r="S5" s="195"/>
      <c r="T5" s="195"/>
      <c r="U5" s="185"/>
      <c r="V5" s="185"/>
      <c r="W5" s="185"/>
      <c r="X5" s="192"/>
      <c r="Y5" s="183"/>
      <c r="AB5" s="198"/>
      <c r="AC5" s="198"/>
      <c r="AD5" s="198"/>
      <c r="AE5" s="198"/>
      <c r="AF5" s="198"/>
    </row>
    <row r="6" spans="2:33" x14ac:dyDescent="0.25">
      <c r="B6" t="s">
        <v>92</v>
      </c>
      <c r="C6" s="183">
        <v>2.61</v>
      </c>
      <c r="D6" s="183">
        <v>0.65</v>
      </c>
      <c r="E6" s="183">
        <v>8.1999999999999993</v>
      </c>
      <c r="F6" s="183">
        <v>2.77</v>
      </c>
      <c r="G6" s="183">
        <v>1</v>
      </c>
      <c r="H6" s="183">
        <v>18.2</v>
      </c>
      <c r="I6" s="183">
        <v>3.13</v>
      </c>
      <c r="J6" s="183">
        <v>0.8</v>
      </c>
      <c r="K6" s="183">
        <v>19.2</v>
      </c>
      <c r="L6" s="183">
        <v>4.9000000000000004</v>
      </c>
      <c r="M6" s="183">
        <v>0.9</v>
      </c>
      <c r="N6" s="183">
        <v>29.2</v>
      </c>
      <c r="O6" s="183">
        <v>7.1</v>
      </c>
      <c r="P6" s="183">
        <v>0.9</v>
      </c>
      <c r="Q6" s="183">
        <v>44.2</v>
      </c>
      <c r="R6" s="195"/>
      <c r="S6" s="195"/>
      <c r="T6" s="195"/>
      <c r="U6" s="185"/>
      <c r="V6" s="185"/>
      <c r="W6" s="185"/>
      <c r="X6" s="192"/>
      <c r="Y6" s="183"/>
      <c r="AB6" s="198"/>
      <c r="AC6" s="198"/>
      <c r="AD6" s="198"/>
      <c r="AE6" s="198"/>
      <c r="AF6" s="198"/>
    </row>
    <row r="7" spans="2:33" x14ac:dyDescent="0.25">
      <c r="B7" t="s">
        <v>93</v>
      </c>
      <c r="C7" s="183">
        <v>4.1499999999999995</v>
      </c>
      <c r="D7" s="183">
        <v>1.2</v>
      </c>
      <c r="E7" s="183">
        <v>1.2</v>
      </c>
      <c r="F7" s="183">
        <v>4.26</v>
      </c>
      <c r="G7" s="183">
        <v>1.74</v>
      </c>
      <c r="H7" s="183">
        <v>1.2</v>
      </c>
      <c r="I7" s="183">
        <v>4.2799999999999994</v>
      </c>
      <c r="J7" s="183">
        <v>1.6</v>
      </c>
      <c r="K7" s="183">
        <v>1.2</v>
      </c>
      <c r="L7" s="183">
        <v>4.9000000000000004</v>
      </c>
      <c r="M7" s="183">
        <v>1.3</v>
      </c>
      <c r="N7" s="183">
        <v>5.6000000000000005</v>
      </c>
      <c r="O7" s="183">
        <v>6.2</v>
      </c>
      <c r="P7" s="183">
        <v>1.5</v>
      </c>
      <c r="Q7" s="183">
        <v>8.2000000000000011</v>
      </c>
      <c r="R7" s="195"/>
      <c r="S7" s="195"/>
      <c r="T7" s="195"/>
      <c r="U7" s="185"/>
      <c r="V7" s="185"/>
      <c r="W7" s="185"/>
      <c r="X7" s="192"/>
      <c r="Y7" s="183"/>
      <c r="AB7" s="198"/>
      <c r="AC7" s="198"/>
      <c r="AD7" s="198"/>
      <c r="AE7" s="198"/>
      <c r="AF7" s="198"/>
    </row>
    <row r="8" spans="2:33" x14ac:dyDescent="0.25">
      <c r="B8" t="s">
        <v>94</v>
      </c>
      <c r="C8" s="183">
        <v>20.7</v>
      </c>
      <c r="D8" s="183">
        <v>4.3</v>
      </c>
      <c r="E8" s="183">
        <v>5.2</v>
      </c>
      <c r="F8" s="183">
        <v>22.78</v>
      </c>
      <c r="G8" s="183">
        <v>4.5</v>
      </c>
      <c r="H8" s="183">
        <v>5.2</v>
      </c>
      <c r="I8" s="183">
        <v>27.47</v>
      </c>
      <c r="J8" s="183">
        <v>4.0999999999999996</v>
      </c>
      <c r="K8" s="183">
        <v>5.2</v>
      </c>
      <c r="L8" s="183">
        <v>28.95</v>
      </c>
      <c r="M8" s="183">
        <v>4.3</v>
      </c>
      <c r="N8" s="183">
        <v>12.7</v>
      </c>
      <c r="O8" s="183">
        <v>32</v>
      </c>
      <c r="P8" s="183">
        <v>3</v>
      </c>
      <c r="Q8" s="183">
        <v>15.2</v>
      </c>
      <c r="R8" s="195"/>
      <c r="S8" s="195"/>
      <c r="T8" s="195"/>
      <c r="U8" s="185"/>
      <c r="V8" s="185"/>
      <c r="W8" s="185"/>
      <c r="X8" s="192"/>
      <c r="Y8" s="183"/>
      <c r="AB8" s="198"/>
      <c r="AC8" s="198"/>
      <c r="AD8" s="198"/>
      <c r="AE8" s="198"/>
      <c r="AF8" s="198"/>
    </row>
    <row r="9" spans="2:33" x14ac:dyDescent="0.25">
      <c r="B9" t="s">
        <v>95</v>
      </c>
      <c r="C9" s="183">
        <v>2.2000000000000002</v>
      </c>
      <c r="D9" s="183">
        <v>3</v>
      </c>
      <c r="E9" s="183">
        <v>4.0999999999999996</v>
      </c>
      <c r="F9" s="183">
        <v>5.9</v>
      </c>
      <c r="G9" s="183">
        <v>4.2</v>
      </c>
      <c r="H9" s="183">
        <v>4.0999999999999996</v>
      </c>
      <c r="I9" s="183">
        <v>6.8</v>
      </c>
      <c r="J9" s="183">
        <v>4.4000000000000004</v>
      </c>
      <c r="K9" s="183">
        <v>4.0999999999999996</v>
      </c>
      <c r="L9" s="183">
        <v>10.7</v>
      </c>
      <c r="M9" s="183">
        <v>3</v>
      </c>
      <c r="N9" s="183">
        <v>10</v>
      </c>
      <c r="O9" s="183">
        <v>13</v>
      </c>
      <c r="P9" s="183">
        <v>3.6</v>
      </c>
      <c r="Q9" s="183">
        <v>12.3</v>
      </c>
      <c r="R9" s="195"/>
      <c r="S9" s="195">
        <v>2.8</v>
      </c>
      <c r="T9" s="195">
        <v>16.2</v>
      </c>
      <c r="U9" s="185"/>
      <c r="V9" s="185"/>
      <c r="W9" s="185"/>
      <c r="X9" s="192"/>
      <c r="Y9" s="183"/>
      <c r="AB9" s="198"/>
      <c r="AC9" s="198"/>
      <c r="AD9" s="198"/>
      <c r="AE9" s="198"/>
      <c r="AF9" s="198"/>
    </row>
    <row r="10" spans="2:33" x14ac:dyDescent="0.25">
      <c r="B10" t="s">
        <v>96</v>
      </c>
      <c r="C10" s="183">
        <v>4.68</v>
      </c>
      <c r="D10" s="183">
        <v>1.4</v>
      </c>
      <c r="E10" s="183">
        <v>1.6</v>
      </c>
      <c r="F10" s="183">
        <v>4.68</v>
      </c>
      <c r="G10" s="183">
        <v>1.4</v>
      </c>
      <c r="H10" s="183">
        <v>1.6</v>
      </c>
      <c r="I10" s="183">
        <v>4.68</v>
      </c>
      <c r="J10" s="183">
        <v>1.4</v>
      </c>
      <c r="K10" s="183">
        <v>1.6</v>
      </c>
      <c r="L10" s="183">
        <v>5</v>
      </c>
      <c r="M10" s="183">
        <v>1.4</v>
      </c>
      <c r="N10" s="183">
        <v>1.6</v>
      </c>
      <c r="O10" s="183">
        <v>5</v>
      </c>
      <c r="P10" s="183">
        <v>1.2</v>
      </c>
      <c r="Q10" s="183">
        <v>1.8</v>
      </c>
      <c r="R10" s="195"/>
      <c r="S10" s="195"/>
      <c r="T10" s="195"/>
      <c r="U10" s="185"/>
      <c r="V10" s="185"/>
      <c r="W10" s="185"/>
      <c r="X10" s="192"/>
      <c r="Y10" s="183"/>
      <c r="AB10" s="198"/>
      <c r="AC10" s="198"/>
      <c r="AD10" s="198"/>
      <c r="AE10" s="198"/>
      <c r="AF10" s="198"/>
    </row>
    <row r="11" spans="2:33" x14ac:dyDescent="0.25">
      <c r="B11" t="s">
        <v>97</v>
      </c>
      <c r="C11" s="183">
        <v>4</v>
      </c>
      <c r="D11" s="183">
        <v>1.8</v>
      </c>
      <c r="E11" s="183">
        <v>8</v>
      </c>
      <c r="F11" s="183">
        <v>8.1999999999999993</v>
      </c>
      <c r="G11" s="183">
        <v>1</v>
      </c>
      <c r="H11" s="183">
        <v>13.4</v>
      </c>
      <c r="I11" s="183">
        <v>10.4</v>
      </c>
      <c r="J11" s="183">
        <v>1.3</v>
      </c>
      <c r="K11" s="183">
        <v>23.4</v>
      </c>
      <c r="L11" s="183">
        <v>11.3</v>
      </c>
      <c r="M11" s="183">
        <v>1.2</v>
      </c>
      <c r="N11" s="183">
        <v>29.4</v>
      </c>
      <c r="O11" s="183">
        <v>12</v>
      </c>
      <c r="P11" s="183">
        <v>1.6</v>
      </c>
      <c r="Q11" s="183">
        <v>30.1</v>
      </c>
      <c r="R11" s="195"/>
      <c r="S11" s="195">
        <v>1.8</v>
      </c>
      <c r="T11" s="195">
        <v>32.4</v>
      </c>
      <c r="U11" s="185"/>
      <c r="V11" s="185"/>
      <c r="W11" s="185"/>
      <c r="X11" s="192"/>
      <c r="Y11" s="183"/>
    </row>
    <row r="12" spans="2:33" x14ac:dyDescent="0.25">
      <c r="B12" t="s">
        <v>98</v>
      </c>
      <c r="C12" s="183">
        <v>1.75</v>
      </c>
      <c r="D12" s="183">
        <v>1.6</v>
      </c>
      <c r="E12" s="183">
        <v>2.4</v>
      </c>
      <c r="F12" s="183">
        <v>2.5700000000000003</v>
      </c>
      <c r="G12" s="183">
        <v>3</v>
      </c>
      <c r="H12" s="183">
        <v>2.4</v>
      </c>
      <c r="I12" s="183">
        <v>3.8000000000000003</v>
      </c>
      <c r="J12" s="183">
        <v>3.4</v>
      </c>
      <c r="K12" s="183">
        <v>2.4</v>
      </c>
      <c r="L12" s="183">
        <v>5.8000000000000007</v>
      </c>
      <c r="M12" s="183">
        <v>1.6</v>
      </c>
      <c r="N12" s="183">
        <v>6.1999999999999993</v>
      </c>
      <c r="O12" s="183">
        <v>6.3000000000000007</v>
      </c>
      <c r="P12" s="183">
        <v>3</v>
      </c>
      <c r="Q12" s="183">
        <v>6.1999999999999993</v>
      </c>
      <c r="R12" s="195"/>
      <c r="S12" s="195"/>
      <c r="T12" s="195"/>
      <c r="U12" s="185"/>
      <c r="V12" s="185"/>
      <c r="W12" s="185"/>
      <c r="X12" s="192"/>
      <c r="Y12" s="183"/>
    </row>
    <row r="13" spans="2:33" x14ac:dyDescent="0.25">
      <c r="B13" t="s">
        <v>99</v>
      </c>
      <c r="C13" s="183">
        <v>4.129999999999999</v>
      </c>
      <c r="D13" s="183">
        <v>2.5</v>
      </c>
      <c r="E13" s="183">
        <v>3</v>
      </c>
      <c r="F13" s="183">
        <v>4.3499999999999996</v>
      </c>
      <c r="G13" s="198">
        <v>2.5</v>
      </c>
      <c r="H13" s="183">
        <v>3</v>
      </c>
      <c r="I13" s="183">
        <v>4.5699999999999994</v>
      </c>
      <c r="J13" s="198">
        <v>2.5</v>
      </c>
      <c r="K13" s="183">
        <v>3</v>
      </c>
      <c r="L13" s="183">
        <v>4.58</v>
      </c>
      <c r="M13" s="198">
        <v>2.5</v>
      </c>
      <c r="N13" s="183">
        <v>3</v>
      </c>
      <c r="O13" s="183">
        <v>4.5999999999999996</v>
      </c>
      <c r="P13" s="183">
        <v>2.2999999999999998</v>
      </c>
      <c r="Q13" s="183">
        <v>3.7</v>
      </c>
      <c r="R13" s="195"/>
      <c r="S13" s="195"/>
      <c r="T13" s="195"/>
      <c r="U13" s="185"/>
      <c r="V13" s="185"/>
      <c r="W13" s="185"/>
      <c r="X13" s="192"/>
      <c r="Y13" s="183"/>
    </row>
    <row r="14" spans="2:33" x14ac:dyDescent="0.25">
      <c r="B14" t="s">
        <v>100</v>
      </c>
      <c r="C14" s="183">
        <v>12.149999999999999</v>
      </c>
      <c r="D14" s="183">
        <v>4.3</v>
      </c>
      <c r="E14" s="183">
        <v>5.4</v>
      </c>
      <c r="F14" s="183">
        <v>16.510000000000002</v>
      </c>
      <c r="G14" s="183">
        <v>4.3</v>
      </c>
      <c r="H14" s="183">
        <v>5.4</v>
      </c>
      <c r="I14" s="183">
        <v>17.589999999999996</v>
      </c>
      <c r="J14" s="183">
        <v>5.2</v>
      </c>
      <c r="K14" s="183">
        <v>5.4</v>
      </c>
      <c r="L14" s="183">
        <v>18.22</v>
      </c>
      <c r="M14" s="183">
        <v>5.2</v>
      </c>
      <c r="N14" s="183">
        <v>8.8000000000000007</v>
      </c>
      <c r="O14" s="183">
        <v>18.850000000000001</v>
      </c>
      <c r="P14" s="183">
        <v>4.5</v>
      </c>
      <c r="Q14" s="183">
        <v>11.6</v>
      </c>
      <c r="R14" s="195"/>
      <c r="S14" s="195"/>
      <c r="T14" s="195"/>
      <c r="U14" s="185"/>
      <c r="V14" s="185"/>
      <c r="W14" s="185"/>
      <c r="X14" s="192"/>
      <c r="Y14" s="183"/>
    </row>
    <row r="15" spans="2:33" x14ac:dyDescent="0.25">
      <c r="B15" t="s">
        <v>101</v>
      </c>
      <c r="C15" s="183">
        <v>1.7</v>
      </c>
      <c r="D15" s="183">
        <v>1.7</v>
      </c>
      <c r="E15" s="183">
        <v>2</v>
      </c>
      <c r="F15" s="183">
        <v>1.9</v>
      </c>
      <c r="G15" s="183">
        <v>1.7</v>
      </c>
      <c r="H15" s="183">
        <v>2</v>
      </c>
      <c r="I15" s="183">
        <v>2.3499999999999996</v>
      </c>
      <c r="J15" s="183">
        <v>1.7</v>
      </c>
      <c r="K15" s="183">
        <v>2</v>
      </c>
      <c r="L15" s="183">
        <v>2.4</v>
      </c>
      <c r="M15" s="183">
        <v>2</v>
      </c>
      <c r="N15" s="183">
        <v>2</v>
      </c>
      <c r="O15" s="183">
        <v>2.4</v>
      </c>
      <c r="P15" s="183">
        <v>2</v>
      </c>
      <c r="Q15" s="183">
        <v>2</v>
      </c>
      <c r="R15" s="195"/>
      <c r="S15" s="195"/>
      <c r="T15" s="195"/>
      <c r="U15" s="185"/>
      <c r="V15" s="185"/>
      <c r="W15" s="185"/>
      <c r="X15" s="192"/>
      <c r="Y15" s="183"/>
    </row>
    <row r="16" spans="2:33" x14ac:dyDescent="0.25">
      <c r="B16" t="s">
        <v>102</v>
      </c>
      <c r="C16" s="183">
        <v>2.1</v>
      </c>
      <c r="D16" s="183">
        <v>1.1000000000000001</v>
      </c>
      <c r="E16" s="183">
        <v>1.5</v>
      </c>
      <c r="F16" s="183">
        <v>2.1500000000000004</v>
      </c>
      <c r="G16" s="183">
        <v>1.1000000000000001</v>
      </c>
      <c r="H16" s="183">
        <v>1.5</v>
      </c>
      <c r="I16" s="183">
        <v>2.2000000000000002</v>
      </c>
      <c r="J16" s="183">
        <v>1.3</v>
      </c>
      <c r="K16" s="183">
        <v>1.5</v>
      </c>
      <c r="L16" s="183">
        <v>2.5</v>
      </c>
      <c r="M16" s="183">
        <v>1.3</v>
      </c>
      <c r="N16" s="183">
        <v>1.5</v>
      </c>
      <c r="O16" s="183">
        <v>2.5</v>
      </c>
      <c r="P16" s="183">
        <v>1.4</v>
      </c>
      <c r="Q16" s="183">
        <v>1.5</v>
      </c>
      <c r="R16" s="195"/>
      <c r="S16" s="195"/>
      <c r="T16" s="195"/>
      <c r="U16" s="185"/>
      <c r="V16" s="185"/>
      <c r="W16" s="185"/>
      <c r="X16" s="192"/>
      <c r="Y16" s="183"/>
    </row>
    <row r="17" spans="2:52" x14ac:dyDescent="0.25">
      <c r="C17">
        <f t="shared" ref="C17:Q17" si="0">SUM(C4:C16)</f>
        <v>71.52</v>
      </c>
      <c r="D17">
        <f t="shared" si="0"/>
        <v>28.970000000000002</v>
      </c>
      <c r="E17">
        <f t="shared" si="0"/>
        <v>46.099999999999994</v>
      </c>
      <c r="F17">
        <f t="shared" si="0"/>
        <v>87.720000000000013</v>
      </c>
      <c r="G17">
        <f t="shared" si="0"/>
        <v>31.86</v>
      </c>
      <c r="H17">
        <f t="shared" si="0"/>
        <v>61.499999999999993</v>
      </c>
      <c r="I17">
        <f t="shared" si="0"/>
        <v>99.219999999999985</v>
      </c>
      <c r="J17">
        <f t="shared" si="0"/>
        <v>33.419999999999995</v>
      </c>
      <c r="K17">
        <f t="shared" si="0"/>
        <v>72.5</v>
      </c>
      <c r="L17">
        <f t="shared" si="0"/>
        <v>111.8</v>
      </c>
      <c r="M17">
        <f t="shared" si="0"/>
        <v>30.22</v>
      </c>
      <c r="N17">
        <f t="shared" si="0"/>
        <v>114.5</v>
      </c>
      <c r="O17">
        <f t="shared" si="0"/>
        <v>123.55000000000001</v>
      </c>
      <c r="P17">
        <f t="shared" si="0"/>
        <v>30.900000000000002</v>
      </c>
      <c r="Q17">
        <f t="shared" si="0"/>
        <v>142.9</v>
      </c>
      <c r="U17" s="185"/>
      <c r="V17" s="185"/>
      <c r="W17" s="185"/>
    </row>
    <row r="18" spans="2:52" x14ac:dyDescent="0.25">
      <c r="C18" s="183">
        <v>0</v>
      </c>
      <c r="D18" s="185">
        <v>0</v>
      </c>
      <c r="E18" s="185">
        <v>0</v>
      </c>
      <c r="F18">
        <f>F17-C17</f>
        <v>16.200000000000017</v>
      </c>
      <c r="G18">
        <f>G17-D17</f>
        <v>2.889999999999997</v>
      </c>
      <c r="H18">
        <f>H17-E17</f>
        <v>15.399999999999999</v>
      </c>
      <c r="I18">
        <f t="shared" ref="I18:Q18" si="1">I17-F17+F18</f>
        <v>27.699999999999989</v>
      </c>
      <c r="J18">
        <f t="shared" si="1"/>
        <v>4.4499999999999922</v>
      </c>
      <c r="K18">
        <f t="shared" si="1"/>
        <v>26.400000000000006</v>
      </c>
      <c r="L18">
        <f t="shared" si="1"/>
        <v>40.28</v>
      </c>
      <c r="M18">
        <f t="shared" si="1"/>
        <v>1.2499999999999964</v>
      </c>
      <c r="N18">
        <f t="shared" si="1"/>
        <v>68.400000000000006</v>
      </c>
      <c r="O18">
        <f t="shared" si="1"/>
        <v>52.030000000000015</v>
      </c>
      <c r="P18">
        <f t="shared" si="1"/>
        <v>1.9299999999999997</v>
      </c>
      <c r="Q18">
        <f t="shared" si="1"/>
        <v>96.800000000000011</v>
      </c>
      <c r="U18" s="185"/>
      <c r="V18" s="185"/>
      <c r="W18" s="185"/>
    </row>
    <row r="19" spans="2:52" x14ac:dyDescent="0.25">
      <c r="D19" s="185"/>
      <c r="E19" s="185"/>
      <c r="F19" s="186">
        <f>F17-C17</f>
        <v>16.200000000000017</v>
      </c>
      <c r="G19" s="187">
        <f t="shared" ref="G19:I19" si="2">G17-D17</f>
        <v>2.889999999999997</v>
      </c>
      <c r="H19">
        <f t="shared" si="2"/>
        <v>15.399999999999999</v>
      </c>
      <c r="I19" s="186">
        <f t="shared" si="2"/>
        <v>11.499999999999972</v>
      </c>
      <c r="J19" s="187">
        <f t="shared" ref="J19" si="3">J17-G17</f>
        <v>1.5599999999999952</v>
      </c>
      <c r="K19">
        <f t="shared" ref="K19:L19" si="4">K17-H17</f>
        <v>11.000000000000007</v>
      </c>
      <c r="L19" s="186">
        <f t="shared" si="4"/>
        <v>12.580000000000013</v>
      </c>
      <c r="M19" s="187">
        <f t="shared" ref="M19" si="5">M17-J17</f>
        <v>-3.1999999999999957</v>
      </c>
      <c r="N19">
        <f t="shared" ref="N19:O19" si="6">N17-K17</f>
        <v>42</v>
      </c>
      <c r="O19" s="186">
        <f t="shared" si="6"/>
        <v>11.750000000000014</v>
      </c>
      <c r="P19" s="187">
        <f t="shared" ref="P19" si="7">P17-M17</f>
        <v>0.68000000000000327</v>
      </c>
      <c r="Q19">
        <f t="shared" ref="Q19" si="8">Q17-N17</f>
        <v>28.400000000000006</v>
      </c>
    </row>
    <row r="20" spans="2:52" x14ac:dyDescent="0.25">
      <c r="B20" t="s">
        <v>10</v>
      </c>
      <c r="C20" s="224">
        <v>0</v>
      </c>
      <c r="D20" s="224"/>
      <c r="E20" s="224"/>
      <c r="F20" s="224">
        <f>F19</f>
        <v>16.200000000000017</v>
      </c>
      <c r="G20" s="224"/>
      <c r="H20" s="224"/>
      <c r="I20" s="224">
        <f>I19</f>
        <v>11.499999999999972</v>
      </c>
      <c r="J20" s="224"/>
      <c r="K20" s="224"/>
      <c r="L20" s="224">
        <f>L19</f>
        <v>12.580000000000013</v>
      </c>
      <c r="M20" s="224"/>
      <c r="N20" s="224"/>
      <c r="O20" s="224">
        <f>O19</f>
        <v>11.750000000000014</v>
      </c>
      <c r="P20" s="224"/>
      <c r="Q20" s="224"/>
      <c r="R20" s="195"/>
      <c r="S20" s="195"/>
      <c r="T20" s="195"/>
      <c r="U20" s="185"/>
      <c r="V20" s="185"/>
      <c r="W20" s="185"/>
      <c r="X20" s="185"/>
      <c r="Y20" s="183"/>
    </row>
    <row r="21" spans="2:52" x14ac:dyDescent="0.25">
      <c r="B21" t="s">
        <v>140</v>
      </c>
      <c r="C21" s="224">
        <v>0</v>
      </c>
      <c r="D21" s="224"/>
      <c r="E21" s="224"/>
      <c r="F21" s="224">
        <f>G19</f>
        <v>2.889999999999997</v>
      </c>
      <c r="G21" s="224"/>
      <c r="H21" s="224"/>
      <c r="I21" s="224">
        <f>J19</f>
        <v>1.5599999999999952</v>
      </c>
      <c r="J21" s="224"/>
      <c r="K21" s="224"/>
      <c r="L21" s="224">
        <f>M19</f>
        <v>-3.1999999999999957</v>
      </c>
      <c r="M21" s="224"/>
      <c r="N21" s="224"/>
      <c r="O21" s="224">
        <f>P19</f>
        <v>0.68000000000000327</v>
      </c>
      <c r="P21" s="224"/>
      <c r="Q21" s="224"/>
      <c r="R21" s="195"/>
      <c r="S21" s="195"/>
      <c r="T21" s="195"/>
      <c r="U21" s="185"/>
      <c r="V21" s="185"/>
      <c r="W21" s="185"/>
      <c r="X21" s="185"/>
      <c r="Y21" s="183"/>
    </row>
    <row r="22" spans="2:52" x14ac:dyDescent="0.25">
      <c r="B22" t="s">
        <v>12</v>
      </c>
      <c r="C22" s="224">
        <v>0</v>
      </c>
      <c r="D22" s="224"/>
      <c r="E22" s="224"/>
      <c r="F22" s="224">
        <f>H19</f>
        <v>15.399999999999999</v>
      </c>
      <c r="G22" s="224"/>
      <c r="H22" s="224"/>
      <c r="I22" s="224">
        <f>K19</f>
        <v>11.000000000000007</v>
      </c>
      <c r="J22" s="224"/>
      <c r="K22" s="224"/>
      <c r="L22" s="224">
        <f>N19</f>
        <v>42</v>
      </c>
      <c r="M22" s="224"/>
      <c r="N22" s="224"/>
      <c r="O22" s="224">
        <f>Q19</f>
        <v>28.400000000000006</v>
      </c>
      <c r="P22" s="224"/>
      <c r="Q22" s="224"/>
      <c r="R22" s="195"/>
      <c r="S22" s="195"/>
      <c r="T22" s="195"/>
      <c r="U22" s="185"/>
      <c r="V22" s="185"/>
      <c r="W22" s="185"/>
      <c r="X22" s="185"/>
      <c r="Y22" s="183"/>
    </row>
    <row r="23" spans="2:52" x14ac:dyDescent="0.25">
      <c r="B23" t="s">
        <v>186</v>
      </c>
      <c r="D23" s="185">
        <v>0</v>
      </c>
      <c r="G23">
        <v>40.6</v>
      </c>
      <c r="J23" s="185">
        <v>15.5</v>
      </c>
      <c r="K23" s="185"/>
      <c r="M23" s="185">
        <v>94.1</v>
      </c>
      <c r="N23" s="185"/>
      <c r="P23" s="185">
        <v>10.3</v>
      </c>
      <c r="Q23" s="185"/>
      <c r="R23" s="195"/>
      <c r="S23" s="195"/>
      <c r="T23" s="195"/>
      <c r="U23" s="185"/>
      <c r="V23" s="185"/>
      <c r="W23" s="185"/>
      <c r="X23" s="185"/>
      <c r="Y23" s="183"/>
    </row>
    <row r="24" spans="2:52" x14ac:dyDescent="0.25">
      <c r="D24" s="185"/>
      <c r="E24" s="185"/>
      <c r="G24" s="185"/>
      <c r="H24" s="185"/>
      <c r="J24" s="185"/>
      <c r="K24" s="185"/>
      <c r="M24" s="185"/>
      <c r="N24" s="185"/>
      <c r="P24" s="185"/>
      <c r="Q24" s="185"/>
      <c r="R24" s="195"/>
      <c r="S24" s="195"/>
      <c r="T24" s="195"/>
      <c r="U24" s="185"/>
      <c r="V24" s="185"/>
      <c r="W24" s="185"/>
      <c r="X24" s="185"/>
      <c r="Y24" s="183"/>
    </row>
    <row r="25" spans="2:52" x14ac:dyDescent="0.25">
      <c r="D25" s="185"/>
      <c r="E25" s="185"/>
      <c r="G25" s="185"/>
      <c r="H25" s="185"/>
      <c r="J25" s="185"/>
      <c r="K25" s="185"/>
      <c r="M25" s="185"/>
      <c r="N25" s="185"/>
      <c r="P25" s="185"/>
      <c r="Q25" s="185"/>
      <c r="R25" s="195"/>
      <c r="S25" s="195"/>
      <c r="T25" s="195"/>
      <c r="U25" s="185"/>
      <c r="V25" s="185"/>
      <c r="W25" s="185"/>
      <c r="X25" s="185"/>
      <c r="Y25" s="183"/>
    </row>
    <row r="26" spans="2:52" x14ac:dyDescent="0.25">
      <c r="D26" s="185"/>
      <c r="E26" s="185"/>
      <c r="G26" s="185"/>
      <c r="H26" s="185"/>
      <c r="J26" s="185"/>
      <c r="K26" s="185"/>
      <c r="M26" s="185"/>
      <c r="N26" s="185"/>
      <c r="P26" s="185"/>
      <c r="Q26" s="185"/>
      <c r="R26" s="195"/>
      <c r="S26" s="195"/>
      <c r="T26" s="195"/>
      <c r="U26" s="185"/>
      <c r="V26" s="185"/>
      <c r="W26" s="185"/>
      <c r="X26" s="185"/>
      <c r="Y26" s="183"/>
    </row>
    <row r="27" spans="2:52" x14ac:dyDescent="0.25">
      <c r="D27" s="224" t="s">
        <v>90</v>
      </c>
      <c r="E27" s="224"/>
      <c r="G27" s="224" t="s">
        <v>91</v>
      </c>
      <c r="H27" s="224"/>
      <c r="J27" s="224" t="s">
        <v>92</v>
      </c>
      <c r="K27" s="224"/>
      <c r="M27" s="224" t="s">
        <v>93</v>
      </c>
      <c r="N27" s="224"/>
      <c r="P27" s="224" t="s">
        <v>94</v>
      </c>
      <c r="Q27" s="224"/>
      <c r="S27" s="224" t="s">
        <v>95</v>
      </c>
      <c r="T27" s="224"/>
      <c r="V27" s="224" t="s">
        <v>96</v>
      </c>
      <c r="W27" s="224"/>
      <c r="Y27" s="224" t="s">
        <v>97</v>
      </c>
      <c r="Z27" s="224"/>
      <c r="AB27" s="224" t="s">
        <v>98</v>
      </c>
      <c r="AC27" s="224"/>
      <c r="AE27" s="224" t="s">
        <v>99</v>
      </c>
      <c r="AF27" s="224"/>
      <c r="AH27" s="224" t="s">
        <v>100</v>
      </c>
      <c r="AI27" s="224"/>
      <c r="AK27" s="224" t="s">
        <v>101</v>
      </c>
      <c r="AL27" s="224"/>
      <c r="AN27" s="224" t="s">
        <v>102</v>
      </c>
      <c r="AO27" s="224"/>
    </row>
    <row r="28" spans="2:52" x14ac:dyDescent="0.25">
      <c r="B28" t="s">
        <v>142</v>
      </c>
      <c r="C28" s="216" t="s">
        <v>141</v>
      </c>
      <c r="D28" s="216" t="s">
        <v>10</v>
      </c>
      <c r="E28" s="216" t="s">
        <v>140</v>
      </c>
      <c r="F28" s="216" t="s">
        <v>12</v>
      </c>
      <c r="G28" s="216" t="s">
        <v>10</v>
      </c>
      <c r="H28" s="216" t="s">
        <v>140</v>
      </c>
      <c r="I28" s="216" t="s">
        <v>12</v>
      </c>
      <c r="J28" s="216" t="s">
        <v>10</v>
      </c>
      <c r="K28" s="216" t="s">
        <v>140</v>
      </c>
      <c r="L28" s="216" t="s">
        <v>12</v>
      </c>
      <c r="M28" s="216" t="s">
        <v>10</v>
      </c>
      <c r="N28" s="216" t="s">
        <v>140</v>
      </c>
      <c r="O28" s="216" t="s">
        <v>12</v>
      </c>
      <c r="P28" s="216" t="s">
        <v>10</v>
      </c>
      <c r="Q28" s="216" t="s">
        <v>140</v>
      </c>
      <c r="R28" s="216" t="s">
        <v>12</v>
      </c>
      <c r="S28" s="216" t="s">
        <v>10</v>
      </c>
      <c r="T28" s="216" t="s">
        <v>140</v>
      </c>
      <c r="U28" s="216" t="s">
        <v>12</v>
      </c>
      <c r="V28" s="216" t="s">
        <v>10</v>
      </c>
      <c r="W28" s="216" t="s">
        <v>140</v>
      </c>
      <c r="X28" s="216" t="s">
        <v>12</v>
      </c>
      <c r="Y28" s="216" t="s">
        <v>10</v>
      </c>
      <c r="Z28" s="216" t="s">
        <v>140</v>
      </c>
      <c r="AA28" s="216" t="s">
        <v>12</v>
      </c>
      <c r="AB28" s="216" t="s">
        <v>10</v>
      </c>
      <c r="AC28" s="216" t="s">
        <v>140</v>
      </c>
      <c r="AD28" s="216" t="s">
        <v>12</v>
      </c>
      <c r="AE28" s="216" t="s">
        <v>10</v>
      </c>
      <c r="AF28" s="216" t="s">
        <v>140</v>
      </c>
      <c r="AG28" s="216" t="s">
        <v>12</v>
      </c>
      <c r="AH28" s="216" t="s">
        <v>10</v>
      </c>
      <c r="AI28" s="216" t="s">
        <v>140</v>
      </c>
      <c r="AJ28" s="216" t="s">
        <v>12</v>
      </c>
      <c r="AK28" s="216" t="s">
        <v>10</v>
      </c>
      <c r="AL28" s="216" t="s">
        <v>140</v>
      </c>
      <c r="AM28" s="216" t="s">
        <v>12</v>
      </c>
      <c r="AN28" s="216" t="s">
        <v>10</v>
      </c>
      <c r="AO28" s="216" t="s">
        <v>140</v>
      </c>
      <c r="AP28" s="216" t="s">
        <v>12</v>
      </c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</row>
    <row r="29" spans="2:52" x14ac:dyDescent="0.25">
      <c r="B29" s="47">
        <v>41453</v>
      </c>
      <c r="C29" s="100">
        <v>0</v>
      </c>
      <c r="D29" s="216">
        <v>8.1999999999999993</v>
      </c>
      <c r="E29" s="216">
        <v>3.72</v>
      </c>
      <c r="F29" s="216">
        <v>1.6</v>
      </c>
      <c r="G29" s="216">
        <v>3.1500000000000004</v>
      </c>
      <c r="H29" s="216">
        <v>1.7</v>
      </c>
      <c r="I29" s="216">
        <v>1.9</v>
      </c>
      <c r="J29" s="216">
        <v>2.61</v>
      </c>
      <c r="K29" s="216">
        <v>0.65</v>
      </c>
      <c r="L29" s="216">
        <v>8.1999999999999993</v>
      </c>
      <c r="M29" s="216">
        <v>4.1499999999999995</v>
      </c>
      <c r="N29" s="216">
        <v>1.2</v>
      </c>
      <c r="O29" s="216">
        <v>1.2</v>
      </c>
      <c r="P29" s="216">
        <v>20.7</v>
      </c>
      <c r="Q29" s="216">
        <v>4.3</v>
      </c>
      <c r="R29" s="216">
        <v>5.2</v>
      </c>
      <c r="S29" s="216">
        <v>2.2000000000000002</v>
      </c>
      <c r="T29" s="216">
        <v>3</v>
      </c>
      <c r="U29" s="216">
        <v>4.0999999999999996</v>
      </c>
      <c r="V29" s="216">
        <v>4.68</v>
      </c>
      <c r="W29" s="216">
        <v>1.4</v>
      </c>
      <c r="X29" s="216">
        <v>1.6</v>
      </c>
      <c r="Y29" s="216">
        <v>4</v>
      </c>
      <c r="Z29" s="216">
        <v>1.8</v>
      </c>
      <c r="AA29" s="216">
        <v>8</v>
      </c>
      <c r="AB29" s="216">
        <v>1.75</v>
      </c>
      <c r="AC29" s="216">
        <v>1.6</v>
      </c>
      <c r="AD29" s="216">
        <v>2.4</v>
      </c>
      <c r="AE29" s="216">
        <v>4.129999999999999</v>
      </c>
      <c r="AF29" s="216">
        <v>2.4</v>
      </c>
      <c r="AG29" s="216">
        <v>3</v>
      </c>
      <c r="AH29" s="216">
        <v>12.149999999999999</v>
      </c>
      <c r="AI29" s="216">
        <v>4.3</v>
      </c>
      <c r="AJ29" s="216">
        <v>2.35</v>
      </c>
      <c r="AK29" s="216">
        <v>1.7</v>
      </c>
      <c r="AL29" s="216">
        <v>1.7</v>
      </c>
      <c r="AM29" s="216">
        <v>2</v>
      </c>
      <c r="AN29" s="216">
        <v>2.1</v>
      </c>
      <c r="AO29" s="216">
        <v>1.1000000000000001</v>
      </c>
      <c r="AP29" s="216">
        <v>1.5</v>
      </c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</row>
    <row r="30" spans="2:52" x14ac:dyDescent="0.25">
      <c r="B30" s="47">
        <v>41478</v>
      </c>
      <c r="C30" s="100">
        <v>87.6</v>
      </c>
      <c r="D30" s="199">
        <f>(D29+D31)/2</f>
        <v>8.35</v>
      </c>
      <c r="E30" s="199">
        <v>3.72</v>
      </c>
      <c r="F30" s="199">
        <f t="shared" ref="F30:I30" si="9">(F29+F31)/2</f>
        <v>1.6</v>
      </c>
      <c r="G30" s="199">
        <f t="shared" si="9"/>
        <v>3.3000000000000003</v>
      </c>
      <c r="H30" s="199">
        <v>1.85</v>
      </c>
      <c r="I30" s="199">
        <f t="shared" si="9"/>
        <v>1.9</v>
      </c>
      <c r="J30" s="216">
        <v>2.77</v>
      </c>
      <c r="K30" s="216">
        <v>1</v>
      </c>
      <c r="L30" s="216">
        <v>18.2</v>
      </c>
      <c r="M30" s="216">
        <v>4.26</v>
      </c>
      <c r="N30" s="216">
        <v>1.74</v>
      </c>
      <c r="O30" s="216">
        <v>1.2</v>
      </c>
      <c r="P30" s="216">
        <v>22.78</v>
      </c>
      <c r="Q30" s="216">
        <v>4.5</v>
      </c>
      <c r="R30" s="216">
        <v>5.2</v>
      </c>
      <c r="S30" s="216">
        <v>5.9</v>
      </c>
      <c r="T30" s="216">
        <v>4.2</v>
      </c>
      <c r="U30" s="216">
        <v>4.0999999999999996</v>
      </c>
      <c r="V30" s="217">
        <f t="shared" ref="V30" si="10">(V29+V31)/2</f>
        <v>4.68</v>
      </c>
      <c r="W30" s="217">
        <v>1.4</v>
      </c>
      <c r="X30" s="217">
        <f t="shared" ref="X30" si="11">(X29+X31)/2</f>
        <v>1.6</v>
      </c>
      <c r="Y30" s="216">
        <v>8.1999999999999993</v>
      </c>
      <c r="Z30" s="216">
        <v>2.2000000000000002</v>
      </c>
      <c r="AA30" s="216">
        <v>13.4</v>
      </c>
      <c r="AB30" s="216">
        <v>2.5700000000000003</v>
      </c>
      <c r="AC30" s="216">
        <v>3</v>
      </c>
      <c r="AD30" s="216">
        <v>2.4</v>
      </c>
      <c r="AE30" s="217">
        <f t="shared" ref="AE30" si="12">(AE29+AE31)/2</f>
        <v>4.3499999999999996</v>
      </c>
      <c r="AF30" s="216">
        <v>2.4</v>
      </c>
      <c r="AG30" s="217">
        <f t="shared" ref="AG30" si="13">(AG29+AG31)/2</f>
        <v>3</v>
      </c>
      <c r="AH30" s="216">
        <v>16.510000000000002</v>
      </c>
      <c r="AI30" s="216">
        <v>4.9000000000000004</v>
      </c>
      <c r="AJ30" s="216">
        <v>5.25</v>
      </c>
      <c r="AK30" s="216">
        <v>1.9</v>
      </c>
      <c r="AL30" s="216">
        <v>1.7</v>
      </c>
      <c r="AM30" s="216">
        <v>2</v>
      </c>
      <c r="AN30" s="217">
        <f t="shared" ref="AN30" si="14">(AN29+AN31)/2</f>
        <v>2.1500000000000004</v>
      </c>
      <c r="AO30" s="217">
        <v>1.2000000000000002</v>
      </c>
      <c r="AP30" s="217">
        <f t="shared" ref="AP30" si="15">(AP29+AP31)/2</f>
        <v>1.5</v>
      </c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</row>
    <row r="31" spans="2:52" x14ac:dyDescent="0.25">
      <c r="B31" s="47">
        <v>41491</v>
      </c>
      <c r="C31" s="100">
        <v>37.099999999999987</v>
      </c>
      <c r="D31" s="216">
        <v>8.5</v>
      </c>
      <c r="E31" s="216">
        <v>3.72</v>
      </c>
      <c r="F31" s="216">
        <v>1.6</v>
      </c>
      <c r="G31" s="216">
        <v>3.45</v>
      </c>
      <c r="H31" s="216">
        <v>2</v>
      </c>
      <c r="I31" s="216">
        <v>1.9</v>
      </c>
      <c r="J31" s="216">
        <v>3.13</v>
      </c>
      <c r="K31" s="216">
        <v>1.3</v>
      </c>
      <c r="L31" s="216">
        <v>19.2</v>
      </c>
      <c r="M31" s="216">
        <v>4.2799999999999994</v>
      </c>
      <c r="N31" s="216">
        <v>1.6</v>
      </c>
      <c r="O31" s="216">
        <v>1.2</v>
      </c>
      <c r="P31" s="216">
        <v>27.47</v>
      </c>
      <c r="Q31" s="216">
        <v>4.0999999999999996</v>
      </c>
      <c r="R31" s="216">
        <v>5.2</v>
      </c>
      <c r="S31" s="216">
        <v>6.8</v>
      </c>
      <c r="T31" s="216">
        <v>4.4000000000000004</v>
      </c>
      <c r="U31" s="216">
        <v>4.0999999999999996</v>
      </c>
      <c r="V31" s="216">
        <v>4.68</v>
      </c>
      <c r="W31" s="216">
        <v>1.4</v>
      </c>
      <c r="X31" s="216">
        <v>1.6</v>
      </c>
      <c r="Y31" s="216">
        <v>10.4</v>
      </c>
      <c r="Z31" s="216">
        <v>3</v>
      </c>
      <c r="AA31" s="216">
        <v>23.4</v>
      </c>
      <c r="AB31" s="216">
        <v>3.8000000000000003</v>
      </c>
      <c r="AC31" s="216">
        <v>3.5</v>
      </c>
      <c r="AD31" s="216">
        <v>2.4</v>
      </c>
      <c r="AE31" s="216">
        <v>4.5699999999999994</v>
      </c>
      <c r="AF31" s="216">
        <v>2.4</v>
      </c>
      <c r="AG31" s="216">
        <v>3</v>
      </c>
      <c r="AH31" s="216">
        <v>17.589999999999996</v>
      </c>
      <c r="AI31" s="216">
        <v>4.8</v>
      </c>
      <c r="AJ31" s="216">
        <v>5.25</v>
      </c>
      <c r="AK31" s="216">
        <v>2.3499999999999996</v>
      </c>
      <c r="AL31" s="216">
        <v>1.7</v>
      </c>
      <c r="AM31" s="216">
        <v>2</v>
      </c>
      <c r="AN31" s="216">
        <v>2.2000000000000002</v>
      </c>
      <c r="AO31" s="216">
        <v>1.3</v>
      </c>
      <c r="AP31" s="216">
        <v>1.5</v>
      </c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</row>
    <row r="32" spans="2:52" x14ac:dyDescent="0.25">
      <c r="B32" s="47">
        <v>41499</v>
      </c>
      <c r="C32" s="100">
        <v>175.39999999999998</v>
      </c>
      <c r="D32" s="216">
        <v>8.5</v>
      </c>
      <c r="E32" s="216">
        <v>3.72</v>
      </c>
      <c r="F32" s="216">
        <v>1.6</v>
      </c>
      <c r="G32" s="216">
        <v>4.05</v>
      </c>
      <c r="H32" s="216">
        <v>2.5</v>
      </c>
      <c r="I32" s="216">
        <v>2.9</v>
      </c>
      <c r="J32" s="216">
        <v>4.9000000000000004</v>
      </c>
      <c r="K32" s="216">
        <v>1.2</v>
      </c>
      <c r="L32" s="216">
        <v>29.2</v>
      </c>
      <c r="M32" s="216">
        <v>4.9000000000000004</v>
      </c>
      <c r="N32" s="216">
        <v>1.9</v>
      </c>
      <c r="O32" s="216">
        <v>5.6000000000000005</v>
      </c>
      <c r="P32" s="216">
        <v>28.95</v>
      </c>
      <c r="Q32" s="216">
        <v>4.3</v>
      </c>
      <c r="R32" s="216">
        <v>12.7</v>
      </c>
      <c r="S32" s="216">
        <v>10.7</v>
      </c>
      <c r="T32" s="216">
        <v>4.5999999999999996</v>
      </c>
      <c r="U32" s="216">
        <v>10</v>
      </c>
      <c r="V32" s="216">
        <v>5</v>
      </c>
      <c r="W32" s="216">
        <v>1.4</v>
      </c>
      <c r="X32" s="216">
        <v>1.6</v>
      </c>
      <c r="Y32" s="216">
        <v>11.3</v>
      </c>
      <c r="Z32" s="216">
        <v>3.3</v>
      </c>
      <c r="AA32" s="216">
        <v>29.4</v>
      </c>
      <c r="AB32" s="216">
        <v>5.8000000000000007</v>
      </c>
      <c r="AC32" s="216">
        <v>3.5</v>
      </c>
      <c r="AD32" s="216">
        <v>6.1999999999999993</v>
      </c>
      <c r="AE32" s="216">
        <v>4.58</v>
      </c>
      <c r="AF32" s="216">
        <v>2.4</v>
      </c>
      <c r="AG32" s="216">
        <v>3</v>
      </c>
      <c r="AH32" s="217">
        <f t="shared" ref="AH32" si="16">(AH31+AH33)/2</f>
        <v>18.22</v>
      </c>
      <c r="AI32" s="216">
        <v>4.8</v>
      </c>
      <c r="AJ32" s="217">
        <f t="shared" ref="AJ32" si="17">(AJ31+AJ33)/2</f>
        <v>5.6749999999999998</v>
      </c>
      <c r="AK32" s="216">
        <v>2.4</v>
      </c>
      <c r="AL32" s="216">
        <v>2</v>
      </c>
      <c r="AM32" s="216">
        <v>2</v>
      </c>
      <c r="AN32" s="216">
        <v>2.5</v>
      </c>
      <c r="AO32" s="216">
        <v>1.3</v>
      </c>
      <c r="AP32" s="216">
        <v>1.5</v>
      </c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</row>
    <row r="33" spans="2:52" x14ac:dyDescent="0.25">
      <c r="B33" s="47">
        <v>41516</v>
      </c>
      <c r="C33" s="100">
        <v>142.39999999999995</v>
      </c>
      <c r="D33" s="216">
        <v>8.5</v>
      </c>
      <c r="E33" s="216">
        <v>3.7</v>
      </c>
      <c r="F33" s="216">
        <v>2</v>
      </c>
      <c r="G33" s="216">
        <v>5.0999999999999996</v>
      </c>
      <c r="H33" s="216">
        <v>2.5</v>
      </c>
      <c r="I33" s="216">
        <v>4.0999999999999996</v>
      </c>
      <c r="J33" s="216">
        <v>7.1</v>
      </c>
      <c r="K33" s="216">
        <v>1.8</v>
      </c>
      <c r="L33" s="216">
        <v>44.2</v>
      </c>
      <c r="M33" s="216">
        <v>6.2</v>
      </c>
      <c r="N33" s="216">
        <v>2.12</v>
      </c>
      <c r="O33" s="216">
        <v>8.2000000000000011</v>
      </c>
      <c r="P33" s="216">
        <v>32</v>
      </c>
      <c r="Q33" s="216">
        <v>5.0999999999999996</v>
      </c>
      <c r="R33" s="216">
        <v>15.2</v>
      </c>
      <c r="S33" s="216">
        <v>13</v>
      </c>
      <c r="T33" s="216">
        <v>4.3</v>
      </c>
      <c r="U33" s="216">
        <v>16.2</v>
      </c>
      <c r="V33" s="216">
        <v>5</v>
      </c>
      <c r="W33" s="216">
        <v>1.5</v>
      </c>
      <c r="X33" s="216">
        <v>1.8</v>
      </c>
      <c r="Y33" s="216">
        <v>12</v>
      </c>
      <c r="Z33" s="216">
        <v>3.7</v>
      </c>
      <c r="AA33" s="216">
        <v>32.4</v>
      </c>
      <c r="AB33" s="216">
        <v>6.3000000000000007</v>
      </c>
      <c r="AC33" s="216">
        <v>3.5</v>
      </c>
      <c r="AD33" s="216">
        <v>6.1999999999999993</v>
      </c>
      <c r="AE33" s="216">
        <v>4.5999999999999996</v>
      </c>
      <c r="AF33" s="216">
        <v>2.4</v>
      </c>
      <c r="AG33" s="216">
        <v>3.7</v>
      </c>
      <c r="AH33" s="216">
        <v>18.850000000000001</v>
      </c>
      <c r="AI33" s="216">
        <v>5.0999999999999996</v>
      </c>
      <c r="AJ33" s="216">
        <v>6.1</v>
      </c>
      <c r="AK33" s="216">
        <v>2.4</v>
      </c>
      <c r="AL33" s="216">
        <v>2</v>
      </c>
      <c r="AM33" s="216">
        <v>2</v>
      </c>
      <c r="AN33" s="216">
        <v>2.5</v>
      </c>
      <c r="AO33" s="216">
        <v>1.4</v>
      </c>
      <c r="AP33" s="216">
        <v>1.5</v>
      </c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</row>
    <row r="34" spans="2:52" x14ac:dyDescent="0.25">
      <c r="B34" s="47"/>
      <c r="C34" s="100">
        <f>SUM(C29:C33)</f>
        <v>442.49999999999989</v>
      </c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</row>
    <row r="35" spans="2:52" x14ac:dyDescent="0.25">
      <c r="C35" s="216" t="s">
        <v>143</v>
      </c>
      <c r="D35" s="159">
        <f>CORREL($C$29:$C$33,D29:D33)</f>
        <v>0.68738057607127012</v>
      </c>
      <c r="E35" s="159">
        <f t="shared" ref="E35:AP35" si="18">CORREL($C$29:$C$33,E29:E33)</f>
        <v>-0.41652403654009512</v>
      </c>
      <c r="F35" s="159">
        <f t="shared" si="18"/>
        <v>0.41652403654009496</v>
      </c>
      <c r="G35" s="159">
        <f t="shared" si="18"/>
        <v>0.72655792087563997</v>
      </c>
      <c r="H35" s="159">
        <f t="shared" si="18"/>
        <v>0.90318952665618557</v>
      </c>
      <c r="I35" s="159">
        <f t="shared" si="18"/>
        <v>0.7293427824031633</v>
      </c>
      <c r="J35" s="159">
        <f t="shared" si="18"/>
        <v>0.74992095378774759</v>
      </c>
      <c r="K35" s="159">
        <f t="shared" si="18"/>
        <v>0.62299429640598047</v>
      </c>
      <c r="L35" s="159">
        <f t="shared" si="18"/>
        <v>0.81010588196044553</v>
      </c>
      <c r="M35" s="159">
        <f t="shared" si="18"/>
        <v>0.68015027500449921</v>
      </c>
      <c r="N35" s="159">
        <f t="shared" si="18"/>
        <v>0.89415159511246689</v>
      </c>
      <c r="O35" s="159">
        <f t="shared" si="18"/>
        <v>0.80667124150451042</v>
      </c>
      <c r="P35" s="159">
        <f t="shared" si="18"/>
        <v>0.7335436513319592</v>
      </c>
      <c r="Q35" s="159">
        <f t="shared" si="18"/>
        <v>0.47809071974677769</v>
      </c>
      <c r="R35" s="159">
        <f t="shared" si="18"/>
        <v>0.8444133374512206</v>
      </c>
      <c r="S35" s="159">
        <f t="shared" si="18"/>
        <v>0.88431986974634968</v>
      </c>
      <c r="T35" s="159">
        <f t="shared" si="18"/>
        <v>0.74353033231821852</v>
      </c>
      <c r="U35" s="159">
        <f t="shared" si="18"/>
        <v>0.74622731951416665</v>
      </c>
      <c r="V35" s="159">
        <f t="shared" si="18"/>
        <v>0.88839954732199966</v>
      </c>
      <c r="W35" s="159">
        <f t="shared" si="18"/>
        <v>0.41652403654009501</v>
      </c>
      <c r="X35" s="159">
        <f t="shared" si="18"/>
        <v>0.41652403654009496</v>
      </c>
      <c r="Y35" s="159">
        <f t="shared" si="18"/>
        <v>0.78412581468101361</v>
      </c>
      <c r="Z35" s="159">
        <f t="shared" si="18"/>
        <v>0.75233825479966709</v>
      </c>
      <c r="AA35" s="159">
        <f t="shared" si="18"/>
        <v>0.79044940970123034</v>
      </c>
      <c r="AB35" s="159">
        <f t="shared" si="18"/>
        <v>0.85752622760318609</v>
      </c>
      <c r="AC35" s="159">
        <f t="shared" si="18"/>
        <v>0.70815697498079977</v>
      </c>
      <c r="AD35" s="159">
        <f t="shared" si="18"/>
        <v>0.88839954732199944</v>
      </c>
      <c r="AE35" s="159">
        <f t="shared" si="18"/>
        <v>0.70587719051350339</v>
      </c>
      <c r="AF35" s="159" t="e">
        <f t="shared" si="18"/>
        <v>#DIV/0!</v>
      </c>
      <c r="AG35" s="159">
        <f t="shared" si="18"/>
        <v>0.41652403654009507</v>
      </c>
      <c r="AH35" s="159">
        <f t="shared" si="18"/>
        <v>0.78398652493364884</v>
      </c>
      <c r="AI35" s="159">
        <f t="shared" si="18"/>
        <v>0.70687073213935281</v>
      </c>
      <c r="AJ35" s="159">
        <f t="shared" si="18"/>
        <v>0.79146926177836618</v>
      </c>
      <c r="AK35" s="159">
        <f t="shared" si="18"/>
        <v>0.68481763544481378</v>
      </c>
      <c r="AL35" s="159">
        <f t="shared" si="18"/>
        <v>0.88839954732199944</v>
      </c>
      <c r="AM35" s="159" t="e">
        <f t="shared" si="18"/>
        <v>#DIV/0!</v>
      </c>
      <c r="AN35" s="159">
        <f t="shared" si="18"/>
        <v>0.90655208924140618</v>
      </c>
      <c r="AO35" s="159">
        <f t="shared" si="18"/>
        <v>0.70259985626942256</v>
      </c>
      <c r="AP35" s="159" t="e">
        <f t="shared" si="18"/>
        <v>#DIV/0!</v>
      </c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</row>
    <row r="36" spans="2:52" x14ac:dyDescent="0.25">
      <c r="C36" s="216" t="s">
        <v>144</v>
      </c>
      <c r="D36" s="159">
        <f>D35^2</f>
        <v>0.47249205636007119</v>
      </c>
      <c r="E36" s="159">
        <f t="shared" ref="E36:AP36" si="19">E35^2</f>
        <v>0.17349227301565451</v>
      </c>
      <c r="F36" s="159">
        <f t="shared" si="19"/>
        <v>0.17349227301565437</v>
      </c>
      <c r="G36" s="159">
        <f t="shared" si="19"/>
        <v>0.52788641238713274</v>
      </c>
      <c r="H36" s="159">
        <f t="shared" si="19"/>
        <v>0.81575132106142456</v>
      </c>
      <c r="I36" s="159">
        <f t="shared" si="19"/>
        <v>0.53194089424358804</v>
      </c>
      <c r="J36" s="159">
        <f t="shared" si="19"/>
        <v>0.56238143692992504</v>
      </c>
      <c r="K36" s="159">
        <f t="shared" si="19"/>
        <v>0.38812189335438263</v>
      </c>
      <c r="L36" s="159">
        <f t="shared" si="19"/>
        <v>0.65627153998691135</v>
      </c>
      <c r="M36" s="159">
        <f t="shared" si="19"/>
        <v>0.4626043965886959</v>
      </c>
      <c r="N36" s="159">
        <f t="shared" si="19"/>
        <v>0.79950707504216889</v>
      </c>
      <c r="O36" s="159">
        <f t="shared" si="19"/>
        <v>0.65071849187042818</v>
      </c>
      <c r="P36" s="159">
        <f t="shared" si="19"/>
        <v>0.53808628840942296</v>
      </c>
      <c r="Q36" s="159">
        <f t="shared" si="19"/>
        <v>0.22857073630799193</v>
      </c>
      <c r="R36" s="159">
        <f t="shared" si="19"/>
        <v>0.71303388446550897</v>
      </c>
      <c r="S36" s="159">
        <f t="shared" si="19"/>
        <v>0.78202163202820085</v>
      </c>
      <c r="T36" s="159">
        <f t="shared" si="19"/>
        <v>0.55283735507724052</v>
      </c>
      <c r="U36" s="159">
        <f t="shared" si="19"/>
        <v>0.55685521238929814</v>
      </c>
      <c r="V36" s="159">
        <f t="shared" si="19"/>
        <v>0.7892537556819339</v>
      </c>
      <c r="W36" s="159">
        <f t="shared" si="19"/>
        <v>0.1734922730156544</v>
      </c>
      <c r="X36" s="159">
        <f t="shared" si="19"/>
        <v>0.17349227301565437</v>
      </c>
      <c r="Y36" s="159">
        <f t="shared" si="19"/>
        <v>0.61485329324916327</v>
      </c>
      <c r="Z36" s="159">
        <f t="shared" si="19"/>
        <v>0.56601284963500875</v>
      </c>
      <c r="AA36" s="159">
        <f t="shared" si="19"/>
        <v>0.62481026929702355</v>
      </c>
      <c r="AB36" s="159">
        <f t="shared" si="19"/>
        <v>0.73535123102735134</v>
      </c>
      <c r="AC36" s="159">
        <f t="shared" si="19"/>
        <v>0.5014863012139571</v>
      </c>
      <c r="AD36" s="159">
        <f t="shared" si="19"/>
        <v>0.78925375568193357</v>
      </c>
      <c r="AE36" s="159">
        <f t="shared" si="19"/>
        <v>0.49826260808723677</v>
      </c>
      <c r="AF36" s="159" t="e">
        <f t="shared" si="19"/>
        <v>#DIV/0!</v>
      </c>
      <c r="AG36" s="159">
        <f t="shared" si="19"/>
        <v>0.17349227301565445</v>
      </c>
      <c r="AH36" s="159">
        <f t="shared" si="19"/>
        <v>0.6146348712775388</v>
      </c>
      <c r="AI36" s="159">
        <f t="shared" si="19"/>
        <v>0.49966623195522469</v>
      </c>
      <c r="AJ36" s="159">
        <f t="shared" si="19"/>
        <v>0.6264235923399919</v>
      </c>
      <c r="AK36" s="159">
        <f t="shared" si="19"/>
        <v>0.46897519381622588</v>
      </c>
      <c r="AL36" s="159">
        <f t="shared" si="19"/>
        <v>0.78925375568193357</v>
      </c>
      <c r="AM36" s="159" t="e">
        <f t="shared" si="19"/>
        <v>#DIV/0!</v>
      </c>
      <c r="AN36" s="159">
        <f t="shared" si="19"/>
        <v>0.82183669050795849</v>
      </c>
      <c r="AO36" s="159">
        <f t="shared" si="19"/>
        <v>0.49364655802981322</v>
      </c>
      <c r="AP36" s="159" t="e">
        <f t="shared" si="19"/>
        <v>#DIV/0!</v>
      </c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</row>
    <row r="37" spans="2:52" x14ac:dyDescent="0.25">
      <c r="C37" s="216"/>
      <c r="D37" s="216"/>
      <c r="E37" s="216">
        <v>3.67</v>
      </c>
      <c r="F37" s="216"/>
      <c r="G37" s="216"/>
      <c r="H37" s="216">
        <v>2.1</v>
      </c>
      <c r="I37" s="216"/>
      <c r="J37" s="216"/>
      <c r="K37" s="216">
        <v>1.3</v>
      </c>
      <c r="L37" s="216"/>
      <c r="M37" s="216"/>
      <c r="N37" s="216">
        <v>2.12</v>
      </c>
      <c r="O37" s="216"/>
      <c r="P37" s="216"/>
      <c r="Q37" s="216">
        <v>4.5</v>
      </c>
      <c r="R37" s="216"/>
      <c r="S37" s="216"/>
      <c r="T37" s="216">
        <v>4.3</v>
      </c>
      <c r="U37" s="216"/>
      <c r="V37" s="216"/>
      <c r="W37" s="216">
        <v>1.4</v>
      </c>
      <c r="X37" s="216"/>
      <c r="Y37" s="216"/>
      <c r="Z37" s="216">
        <v>3.3</v>
      </c>
      <c r="AA37" s="216"/>
      <c r="AB37" s="216"/>
      <c r="AC37" s="216">
        <v>3.5</v>
      </c>
      <c r="AD37" s="216"/>
      <c r="AE37" s="216"/>
      <c r="AF37" s="216">
        <v>2.4</v>
      </c>
      <c r="AG37" s="216"/>
      <c r="AH37" s="216"/>
      <c r="AI37" s="217">
        <v>4.5999999999999996</v>
      </c>
      <c r="AJ37" s="216"/>
      <c r="AK37" s="216"/>
      <c r="AL37" s="216">
        <v>2</v>
      </c>
      <c r="AM37" s="216"/>
      <c r="AN37" s="216"/>
      <c r="AO37" s="216">
        <v>1.3</v>
      </c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</row>
  </sheetData>
  <mergeCells count="38">
    <mergeCell ref="L21:N21"/>
    <mergeCell ref="L22:N22"/>
    <mergeCell ref="O21:Q21"/>
    <mergeCell ref="O22:Q22"/>
    <mergeCell ref="C21:E21"/>
    <mergeCell ref="C22:E22"/>
    <mergeCell ref="F21:H21"/>
    <mergeCell ref="F22:H22"/>
    <mergeCell ref="I21:K21"/>
    <mergeCell ref="I22:K22"/>
    <mergeCell ref="C20:E20"/>
    <mergeCell ref="F20:H20"/>
    <mergeCell ref="I20:K20"/>
    <mergeCell ref="L20:N20"/>
    <mergeCell ref="O20:Q20"/>
    <mergeCell ref="C1:E1"/>
    <mergeCell ref="F1:H1"/>
    <mergeCell ref="I1:K1"/>
    <mergeCell ref="L1:N1"/>
    <mergeCell ref="O1:Q1"/>
    <mergeCell ref="C2:E2"/>
    <mergeCell ref="F2:H2"/>
    <mergeCell ref="I2:K2"/>
    <mergeCell ref="L2:N2"/>
    <mergeCell ref="O2:Q2"/>
    <mergeCell ref="D27:E27"/>
    <mergeCell ref="G27:H27"/>
    <mergeCell ref="J27:K27"/>
    <mergeCell ref="M27:N27"/>
    <mergeCell ref="P27:Q27"/>
    <mergeCell ref="AH27:AI27"/>
    <mergeCell ref="AK27:AL27"/>
    <mergeCell ref="AN27:AO27"/>
    <mergeCell ref="S27:T27"/>
    <mergeCell ref="V27:W27"/>
    <mergeCell ref="Y27:Z27"/>
    <mergeCell ref="AB27:AC27"/>
    <mergeCell ref="AE27:AF27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4"/>
  <sheetViews>
    <sheetView topLeftCell="A7" zoomScale="75" zoomScaleNormal="75" workbookViewId="0">
      <selection activeCell="C9" sqref="C9"/>
    </sheetView>
  </sheetViews>
  <sheetFormatPr defaultRowHeight="15" x14ac:dyDescent="0.25"/>
  <cols>
    <col min="1" max="1" width="11" customWidth="1"/>
    <col min="2" max="2" width="10.28515625" bestFit="1" customWidth="1"/>
    <col min="4" max="4" width="9" customWidth="1"/>
    <col min="5" max="5" width="10.85546875" bestFit="1" customWidth="1"/>
    <col min="6" max="6" width="11.5703125" customWidth="1"/>
    <col min="7" max="9" width="10.85546875" bestFit="1" customWidth="1"/>
    <col min="11" max="11" width="10.85546875" bestFit="1" customWidth="1"/>
    <col min="18" max="19" width="10.85546875" bestFit="1" customWidth="1"/>
    <col min="20" max="20" width="9.7109375" bestFit="1" customWidth="1"/>
    <col min="21" max="22" width="10.85546875" bestFit="1" customWidth="1"/>
  </cols>
  <sheetData>
    <row r="1" spans="1:9" ht="15.75" thickBot="1" x14ac:dyDescent="0.3"/>
    <row r="2" spans="1:9" ht="15.75" thickBot="1" x14ac:dyDescent="0.3">
      <c r="E2" s="62"/>
      <c r="F2" s="50" t="s">
        <v>83</v>
      </c>
      <c r="G2" s="50"/>
      <c r="H2" s="50"/>
      <c r="I2" s="51"/>
    </row>
    <row r="3" spans="1:9" s="160" customFormat="1" ht="60" x14ac:dyDescent="0.25">
      <c r="B3" s="160" t="s">
        <v>136</v>
      </c>
      <c r="C3" s="160" t="s">
        <v>84</v>
      </c>
      <c r="D3" s="160" t="s">
        <v>110</v>
      </c>
      <c r="E3" s="103">
        <v>41453</v>
      </c>
      <c r="F3" s="104">
        <v>41478</v>
      </c>
      <c r="G3" s="105">
        <v>41491</v>
      </c>
      <c r="H3" s="105">
        <v>41499</v>
      </c>
      <c r="I3" s="106">
        <v>41516</v>
      </c>
    </row>
    <row r="4" spans="1:9" x14ac:dyDescent="0.25">
      <c r="A4" t="s">
        <v>90</v>
      </c>
      <c r="B4" s="159">
        <v>1.5</v>
      </c>
      <c r="C4" s="159">
        <v>3.9</v>
      </c>
      <c r="D4">
        <v>8.9</v>
      </c>
      <c r="E4" s="54">
        <v>0</v>
      </c>
      <c r="F4" s="3">
        <v>0</v>
      </c>
      <c r="G4" s="3">
        <v>0</v>
      </c>
      <c r="H4" s="3">
        <v>0</v>
      </c>
      <c r="I4" s="52">
        <v>0.4</v>
      </c>
    </row>
    <row r="5" spans="1:9" x14ac:dyDescent="0.25">
      <c r="A5" t="s">
        <v>91</v>
      </c>
      <c r="B5" s="159">
        <v>1.22</v>
      </c>
      <c r="C5" s="159">
        <v>2.2000000000000002</v>
      </c>
      <c r="D5">
        <v>30.6</v>
      </c>
      <c r="E5" s="54"/>
      <c r="F5" s="3"/>
      <c r="G5" s="3"/>
      <c r="H5" s="3">
        <v>1</v>
      </c>
      <c r="I5" s="52">
        <v>1.2</v>
      </c>
    </row>
    <row r="6" spans="1:9" x14ac:dyDescent="0.25">
      <c r="A6" t="s">
        <v>92</v>
      </c>
      <c r="B6" s="159">
        <v>0.02</v>
      </c>
      <c r="C6" s="159">
        <v>1.4</v>
      </c>
      <c r="D6" s="169">
        <v>146</v>
      </c>
      <c r="E6" s="54">
        <v>0</v>
      </c>
      <c r="F6" s="3">
        <v>10</v>
      </c>
      <c r="G6" s="3">
        <v>11</v>
      </c>
      <c r="H6" s="3">
        <v>21</v>
      </c>
      <c r="I6" s="52">
        <v>36</v>
      </c>
    </row>
    <row r="7" spans="1:9" x14ac:dyDescent="0.25">
      <c r="A7" t="s">
        <v>93</v>
      </c>
      <c r="B7" s="159">
        <v>0.59</v>
      </c>
      <c r="C7" s="159">
        <v>2</v>
      </c>
      <c r="D7">
        <v>40.299999999999997</v>
      </c>
      <c r="E7" s="54">
        <v>0</v>
      </c>
      <c r="F7" s="3">
        <v>0</v>
      </c>
      <c r="G7" s="3">
        <v>0</v>
      </c>
      <c r="H7" s="3">
        <v>4.4000000000000004</v>
      </c>
      <c r="I7" s="52">
        <v>7</v>
      </c>
    </row>
    <row r="8" spans="1:9" x14ac:dyDescent="0.25">
      <c r="A8" t="s">
        <v>94</v>
      </c>
      <c r="B8" s="159">
        <v>0.05</v>
      </c>
      <c r="C8" s="159">
        <v>4.8</v>
      </c>
      <c r="D8">
        <v>956</v>
      </c>
      <c r="E8" s="54">
        <v>0</v>
      </c>
      <c r="F8" s="3">
        <v>0</v>
      </c>
      <c r="G8" s="3">
        <v>0</v>
      </c>
      <c r="H8" s="3">
        <v>7.5</v>
      </c>
      <c r="I8" s="56">
        <v>10</v>
      </c>
    </row>
    <row r="9" spans="1:9" x14ac:dyDescent="0.25">
      <c r="A9" t="s">
        <v>95</v>
      </c>
      <c r="B9" s="159">
        <v>7.4999999999999997E-2</v>
      </c>
      <c r="C9" s="159">
        <v>4.5999999999999996</v>
      </c>
      <c r="D9">
        <v>413</v>
      </c>
      <c r="E9" s="54">
        <v>0</v>
      </c>
      <c r="F9" s="3">
        <v>0</v>
      </c>
      <c r="G9" s="3">
        <v>5.9</v>
      </c>
      <c r="H9" s="3">
        <v>9.3000000000000007</v>
      </c>
      <c r="I9" s="56">
        <v>11.9</v>
      </c>
    </row>
    <row r="10" spans="1:9" x14ac:dyDescent="0.25">
      <c r="A10" t="s">
        <v>96</v>
      </c>
      <c r="B10" s="159">
        <v>1.36</v>
      </c>
      <c r="C10" s="159">
        <v>1.4</v>
      </c>
      <c r="D10">
        <v>1.9</v>
      </c>
      <c r="E10" s="54">
        <v>0</v>
      </c>
      <c r="F10" s="3">
        <v>0</v>
      </c>
      <c r="G10" s="3">
        <v>0</v>
      </c>
      <c r="H10" s="3">
        <v>0</v>
      </c>
      <c r="I10" s="56">
        <v>0.2</v>
      </c>
    </row>
    <row r="11" spans="1:9" x14ac:dyDescent="0.25">
      <c r="A11" t="s">
        <v>97</v>
      </c>
      <c r="B11" s="159">
        <v>6.5000000000000002E-2</v>
      </c>
      <c r="C11" s="159">
        <v>3.3</v>
      </c>
      <c r="D11">
        <v>195</v>
      </c>
      <c r="E11" s="54">
        <v>0</v>
      </c>
      <c r="F11" s="3">
        <v>5.4</v>
      </c>
      <c r="G11" s="3">
        <v>15.4</v>
      </c>
      <c r="H11" s="3">
        <v>21.4</v>
      </c>
      <c r="I11" s="56">
        <v>24.4</v>
      </c>
    </row>
    <row r="12" spans="1:9" x14ac:dyDescent="0.25">
      <c r="A12" t="s">
        <v>98</v>
      </c>
      <c r="B12" s="159">
        <v>1.2</v>
      </c>
      <c r="C12" s="159">
        <v>3.4</v>
      </c>
      <c r="D12">
        <v>48.9</v>
      </c>
      <c r="E12" s="54">
        <v>0</v>
      </c>
      <c r="F12" s="3">
        <v>0</v>
      </c>
      <c r="G12" s="3">
        <v>0</v>
      </c>
      <c r="H12" s="3">
        <v>0</v>
      </c>
      <c r="I12" s="52">
        <v>3.8</v>
      </c>
    </row>
    <row r="13" spans="1:9" x14ac:dyDescent="0.25">
      <c r="A13" t="s">
        <v>99</v>
      </c>
      <c r="B13" s="159">
        <v>1.44</v>
      </c>
      <c r="C13" s="159">
        <v>2.5</v>
      </c>
      <c r="D13">
        <v>6</v>
      </c>
      <c r="E13" s="54">
        <v>0</v>
      </c>
      <c r="F13" s="3">
        <v>0</v>
      </c>
      <c r="G13" s="3">
        <v>0</v>
      </c>
      <c r="H13" s="3">
        <v>0</v>
      </c>
      <c r="I13" s="52">
        <v>0.7</v>
      </c>
    </row>
    <row r="14" spans="1:9" x14ac:dyDescent="0.25">
      <c r="A14" t="s">
        <v>100</v>
      </c>
      <c r="B14" s="159">
        <v>0.45</v>
      </c>
      <c r="C14" s="159">
        <v>4.2</v>
      </c>
      <c r="D14">
        <v>319</v>
      </c>
      <c r="E14" s="54">
        <v>0</v>
      </c>
      <c r="F14" s="3">
        <v>0</v>
      </c>
      <c r="G14" s="3">
        <v>0</v>
      </c>
      <c r="H14" s="3">
        <v>3.4</v>
      </c>
      <c r="I14" s="56">
        <v>6.2</v>
      </c>
    </row>
    <row r="15" spans="1:9" x14ac:dyDescent="0.25">
      <c r="A15" t="s">
        <v>101</v>
      </c>
      <c r="B15" s="159">
        <v>1.38</v>
      </c>
      <c r="C15" s="159">
        <v>1.9</v>
      </c>
      <c r="D15">
        <v>3.3</v>
      </c>
      <c r="E15" s="54">
        <v>0</v>
      </c>
      <c r="F15" s="3">
        <v>0</v>
      </c>
      <c r="G15" s="3">
        <v>0</v>
      </c>
      <c r="H15" s="3">
        <v>0</v>
      </c>
      <c r="I15" s="52">
        <v>7.0000000000000007E-2</v>
      </c>
    </row>
    <row r="16" spans="1:9" ht="15.75" thickBot="1" x14ac:dyDescent="0.3">
      <c r="A16" t="s">
        <v>102</v>
      </c>
      <c r="B16" s="159">
        <v>1.25</v>
      </c>
      <c r="C16" s="159">
        <v>1.3</v>
      </c>
      <c r="D16">
        <v>0.96</v>
      </c>
      <c r="E16" s="57">
        <v>0</v>
      </c>
      <c r="F16" s="58">
        <v>0</v>
      </c>
      <c r="G16" s="58">
        <v>0</v>
      </c>
      <c r="H16" s="58">
        <v>0</v>
      </c>
      <c r="I16" s="59">
        <v>0.04</v>
      </c>
    </row>
    <row r="17" spans="10:15" x14ac:dyDescent="0.25">
      <c r="J17" s="64"/>
      <c r="K17" s="64"/>
      <c r="M17" s="64"/>
      <c r="N17" s="64"/>
      <c r="O17" s="64"/>
    </row>
    <row r="34" hidden="1" x14ac:dyDescent="0.25"/>
  </sheetData>
  <dataConsolidate/>
  <pageMargins left="0.7" right="0.7" top="0.75" bottom="0.75" header="0.3" footer="0.3"/>
  <pageSetup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54"/>
  <sheetViews>
    <sheetView tabSelected="1" workbookViewId="0">
      <selection activeCell="E47" sqref="E47"/>
    </sheetView>
  </sheetViews>
  <sheetFormatPr defaultRowHeight="15" x14ac:dyDescent="0.25"/>
  <cols>
    <col min="16" max="16" width="9.5703125" bestFit="1" customWidth="1"/>
    <col min="17" max="17" width="11.5703125" bestFit="1" customWidth="1"/>
  </cols>
  <sheetData>
    <row r="2" spans="2:18" s="160" customFormat="1" ht="44.25" customHeight="1" x14ac:dyDescent="0.25">
      <c r="C2" s="160" t="s">
        <v>104</v>
      </c>
      <c r="D2" s="160" t="s">
        <v>132</v>
      </c>
      <c r="E2" s="160" t="s">
        <v>111</v>
      </c>
      <c r="F2" s="160" t="s">
        <v>135</v>
      </c>
      <c r="G2" s="160" t="s">
        <v>112</v>
      </c>
      <c r="H2" s="160" t="s">
        <v>133</v>
      </c>
      <c r="I2" s="160" t="s">
        <v>159</v>
      </c>
      <c r="J2" s="160" t="s">
        <v>180</v>
      </c>
      <c r="K2" s="228" t="s">
        <v>115</v>
      </c>
      <c r="L2" s="228"/>
      <c r="M2" s="228" t="s">
        <v>134</v>
      </c>
      <c r="N2" s="228"/>
      <c r="O2" s="160" t="s">
        <v>137</v>
      </c>
    </row>
    <row r="3" spans="2:18" s="160" customFormat="1" ht="17.25" customHeight="1" x14ac:dyDescent="0.25">
      <c r="K3" s="160">
        <v>2013</v>
      </c>
      <c r="L3" s="160">
        <v>2014</v>
      </c>
      <c r="M3" s="160">
        <v>2013</v>
      </c>
      <c r="N3" s="160">
        <v>2014</v>
      </c>
    </row>
    <row r="4" spans="2:18" x14ac:dyDescent="0.25">
      <c r="B4" t="s">
        <v>90</v>
      </c>
      <c r="C4">
        <v>1.8</v>
      </c>
      <c r="D4">
        <v>1.5</v>
      </c>
      <c r="E4">
        <v>58</v>
      </c>
      <c r="F4">
        <v>1.26</v>
      </c>
      <c r="G4">
        <v>53</v>
      </c>
      <c r="H4">
        <v>3.9</v>
      </c>
      <c r="I4" s="64">
        <v>3.7160000000000002</v>
      </c>
      <c r="J4">
        <v>12.8</v>
      </c>
      <c r="K4">
        <v>0.4</v>
      </c>
      <c r="L4">
        <v>0</v>
      </c>
      <c r="M4">
        <v>8.9</v>
      </c>
      <c r="N4" s="64">
        <v>0</v>
      </c>
      <c r="O4">
        <f>18.295*K4^0.91</f>
        <v>7.947069405488346</v>
      </c>
      <c r="P4" s="63">
        <f>(M4-O4)^2</f>
        <v>0.90807671795633516</v>
      </c>
      <c r="Q4" s="63">
        <f>(M4-$M$20)^2</f>
        <v>24967.889382248533</v>
      </c>
      <c r="R4">
        <f>O4-M4</f>
        <v>-0.95293059451165441</v>
      </c>
    </row>
    <row r="5" spans="2:18" x14ac:dyDescent="0.25">
      <c r="B5" t="s">
        <v>91</v>
      </c>
      <c r="C5">
        <v>1.07</v>
      </c>
      <c r="D5">
        <v>1.22</v>
      </c>
      <c r="E5">
        <v>53</v>
      </c>
      <c r="F5">
        <v>1.19</v>
      </c>
      <c r="G5">
        <v>55</v>
      </c>
      <c r="H5">
        <v>2.2000000000000002</v>
      </c>
      <c r="I5" s="64">
        <v>1.8800000000000001</v>
      </c>
      <c r="J5">
        <v>13</v>
      </c>
      <c r="K5">
        <v>2.2000000000000002</v>
      </c>
      <c r="L5">
        <v>0.5</v>
      </c>
      <c r="M5">
        <v>30.6</v>
      </c>
      <c r="N5" s="64">
        <v>4.2</v>
      </c>
      <c r="O5">
        <f t="shared" ref="O5:O6" si="0">18.295*K5^0.91</f>
        <v>37.491865760824808</v>
      </c>
      <c r="P5" s="63">
        <f t="shared" ref="P5:P6" si="1">(M5-O5)^2</f>
        <v>47.497813665229295</v>
      </c>
      <c r="Q5" s="63">
        <f t="shared" ref="Q5" si="2">(M5-$M$20)^2</f>
        <v>18581.045228402381</v>
      </c>
      <c r="R5">
        <f t="shared" ref="R5" si="3">O5-M5</f>
        <v>6.8918657608248068</v>
      </c>
    </row>
    <row r="6" spans="2:18" x14ac:dyDescent="0.25">
      <c r="B6" t="s">
        <v>92</v>
      </c>
      <c r="C6">
        <v>0.89</v>
      </c>
      <c r="D6">
        <v>0.02</v>
      </c>
      <c r="E6">
        <v>55</v>
      </c>
      <c r="F6">
        <v>1.1399999999999999</v>
      </c>
      <c r="G6">
        <v>57</v>
      </c>
      <c r="H6">
        <v>1.4</v>
      </c>
      <c r="I6">
        <v>0.9</v>
      </c>
      <c r="J6">
        <v>41.6</v>
      </c>
      <c r="K6">
        <v>36</v>
      </c>
      <c r="L6" s="169">
        <v>0</v>
      </c>
      <c r="M6">
        <v>146</v>
      </c>
      <c r="N6" s="64">
        <v>0</v>
      </c>
      <c r="O6">
        <f t="shared" si="0"/>
        <v>477.05416240743756</v>
      </c>
      <c r="P6" s="63">
        <f t="shared" si="1"/>
        <v>109596.85844729004</v>
      </c>
      <c r="Q6" s="63">
        <f t="shared" ref="Q6" si="4">(M6-$M$20)^2</f>
        <v>437.32461301775328</v>
      </c>
      <c r="R6">
        <f t="shared" ref="R6" si="5">O6-M6</f>
        <v>331.05416240743756</v>
      </c>
    </row>
    <row r="7" spans="2:18" x14ac:dyDescent="0.25">
      <c r="B7" t="s">
        <v>93</v>
      </c>
      <c r="C7">
        <v>0.61</v>
      </c>
      <c r="D7">
        <v>0.59</v>
      </c>
      <c r="E7">
        <v>59</v>
      </c>
      <c r="F7">
        <v>1.17</v>
      </c>
      <c r="G7">
        <v>56</v>
      </c>
      <c r="H7">
        <v>2</v>
      </c>
      <c r="I7" s="64">
        <v>1.468</v>
      </c>
      <c r="J7">
        <v>1.7</v>
      </c>
      <c r="K7">
        <v>7</v>
      </c>
      <c r="L7">
        <v>5</v>
      </c>
      <c r="M7">
        <v>40.299999999999997</v>
      </c>
      <c r="N7" s="64">
        <v>10.600000000000001</v>
      </c>
      <c r="O7">
        <f>18.295*K7^0.91</f>
        <v>107.49088294008735</v>
      </c>
      <c r="P7" s="63">
        <f t="shared" ref="P7:P16" si="6">(M7-O7)^2</f>
        <v>4514.6147502685208</v>
      </c>
      <c r="Q7" s="63">
        <f t="shared" ref="Q7:Q16" si="7">(M7-$M$20)^2</f>
        <v>16030.676459171609</v>
      </c>
      <c r="R7">
        <f t="shared" ref="R7:R16" si="8">O7-M7</f>
        <v>67.190882940087349</v>
      </c>
    </row>
    <row r="8" spans="2:18" x14ac:dyDescent="0.25">
      <c r="B8" t="s">
        <v>94</v>
      </c>
      <c r="C8">
        <v>1.1000000000000001</v>
      </c>
      <c r="D8">
        <v>0.05</v>
      </c>
      <c r="E8">
        <v>60</v>
      </c>
      <c r="F8">
        <v>1.1599999999999999</v>
      </c>
      <c r="G8">
        <v>56</v>
      </c>
      <c r="H8">
        <v>4.8</v>
      </c>
      <c r="I8" s="64">
        <v>4.04</v>
      </c>
      <c r="J8">
        <v>68</v>
      </c>
      <c r="K8">
        <v>10</v>
      </c>
      <c r="L8">
        <v>3</v>
      </c>
      <c r="M8">
        <v>956</v>
      </c>
      <c r="N8" s="64">
        <v>405</v>
      </c>
      <c r="O8">
        <f t="shared" ref="O8:O16" si="9">18.295*K8^0.91</f>
        <v>148.70734293222199</v>
      </c>
      <c r="P8" s="63">
        <f t="shared" si="6"/>
        <v>651721.434155553</v>
      </c>
      <c r="Q8" s="63">
        <f t="shared" si="7"/>
        <v>622659.38615147921</v>
      </c>
      <c r="R8">
        <f t="shared" si="8"/>
        <v>-807.29265706777801</v>
      </c>
    </row>
    <row r="9" spans="2:18" x14ac:dyDescent="0.25">
      <c r="B9" t="s">
        <v>95</v>
      </c>
      <c r="C9">
        <v>0.45</v>
      </c>
      <c r="D9">
        <v>7.4999999999999997E-2</v>
      </c>
      <c r="E9">
        <v>67</v>
      </c>
      <c r="F9">
        <v>1.22</v>
      </c>
      <c r="G9">
        <v>54</v>
      </c>
      <c r="H9">
        <v>4.5999999999999996</v>
      </c>
      <c r="I9" s="64">
        <v>3.5000000000000004</v>
      </c>
      <c r="J9">
        <v>13.3</v>
      </c>
      <c r="K9">
        <v>12</v>
      </c>
      <c r="L9">
        <v>0</v>
      </c>
      <c r="M9">
        <v>413</v>
      </c>
      <c r="N9" s="64">
        <v>0</v>
      </c>
      <c r="O9">
        <f t="shared" si="9"/>
        <v>175.54454875924537</v>
      </c>
      <c r="P9" s="63">
        <f t="shared" si="6"/>
        <v>56385.091323950401</v>
      </c>
      <c r="Q9" s="63">
        <f t="shared" si="7"/>
        <v>60559.15230532542</v>
      </c>
      <c r="R9">
        <f t="shared" si="8"/>
        <v>-237.45545124075463</v>
      </c>
    </row>
    <row r="10" spans="2:18" x14ac:dyDescent="0.25">
      <c r="B10" t="s">
        <v>96</v>
      </c>
      <c r="C10">
        <v>0.74</v>
      </c>
      <c r="D10">
        <v>1.36</v>
      </c>
      <c r="E10">
        <v>59</v>
      </c>
      <c r="F10">
        <v>1.1499999999999999</v>
      </c>
      <c r="G10">
        <v>57</v>
      </c>
      <c r="H10">
        <v>1.4</v>
      </c>
      <c r="I10" s="64">
        <v>1.3599999999999999</v>
      </c>
      <c r="J10">
        <v>0.7</v>
      </c>
      <c r="K10">
        <v>0.2</v>
      </c>
      <c r="L10">
        <v>0</v>
      </c>
      <c r="M10">
        <v>1.9</v>
      </c>
      <c r="N10" s="64">
        <v>0</v>
      </c>
      <c r="O10">
        <f t="shared" si="9"/>
        <v>4.2293118565445722</v>
      </c>
      <c r="P10" s="63">
        <f t="shared" si="6"/>
        <v>5.425693725039122</v>
      </c>
      <c r="Q10" s="63">
        <f t="shared" si="7"/>
        <v>27229.061689940841</v>
      </c>
      <c r="R10">
        <f t="shared" si="8"/>
        <v>2.3293118565445723</v>
      </c>
    </row>
    <row r="11" spans="2:18" x14ac:dyDescent="0.25">
      <c r="B11" t="s">
        <v>97</v>
      </c>
      <c r="C11">
        <v>2.0099999999999998</v>
      </c>
      <c r="D11">
        <v>6.5000000000000002E-2</v>
      </c>
      <c r="E11">
        <v>56</v>
      </c>
      <c r="F11">
        <v>1.19</v>
      </c>
      <c r="G11">
        <v>55</v>
      </c>
      <c r="H11">
        <v>3.3</v>
      </c>
      <c r="I11" s="64">
        <v>1.4500000000000002</v>
      </c>
      <c r="J11">
        <v>17.399999999999999</v>
      </c>
      <c r="K11">
        <v>24.4</v>
      </c>
      <c r="L11">
        <v>7</v>
      </c>
      <c r="M11">
        <v>195</v>
      </c>
      <c r="N11" s="64">
        <v>132.02338709999984</v>
      </c>
      <c r="O11">
        <f t="shared" si="9"/>
        <v>334.85528347486644</v>
      </c>
      <c r="P11" s="63">
        <f t="shared" si="6"/>
        <v>19559.500315835248</v>
      </c>
      <c r="Q11" s="63">
        <f t="shared" si="7"/>
        <v>788.91845917159526</v>
      </c>
      <c r="R11">
        <f t="shared" si="8"/>
        <v>139.85528347486644</v>
      </c>
    </row>
    <row r="12" spans="2:18" x14ac:dyDescent="0.25">
      <c r="B12" t="s">
        <v>98</v>
      </c>
      <c r="C12">
        <v>2.48</v>
      </c>
      <c r="D12">
        <v>1.2</v>
      </c>
      <c r="E12">
        <v>59</v>
      </c>
      <c r="F12">
        <v>1.19</v>
      </c>
      <c r="G12">
        <v>55</v>
      </c>
      <c r="H12">
        <v>3.4</v>
      </c>
      <c r="I12" s="64">
        <v>2.52</v>
      </c>
      <c r="J12">
        <v>6.8</v>
      </c>
      <c r="K12">
        <v>3.8</v>
      </c>
      <c r="L12">
        <v>1.65</v>
      </c>
      <c r="M12">
        <v>48.9</v>
      </c>
      <c r="N12" s="64">
        <v>105</v>
      </c>
      <c r="O12">
        <f t="shared" si="9"/>
        <v>61.650341516499665</v>
      </c>
      <c r="P12" s="63">
        <f t="shared" si="6"/>
        <v>162.57120878737501</v>
      </c>
      <c r="Q12" s="63">
        <f t="shared" si="7"/>
        <v>13926.904766863914</v>
      </c>
      <c r="R12">
        <f t="shared" si="8"/>
        <v>12.750341516499667</v>
      </c>
    </row>
    <row r="13" spans="2:18" x14ac:dyDescent="0.25">
      <c r="B13" t="s">
        <v>99</v>
      </c>
      <c r="C13">
        <v>1.65</v>
      </c>
      <c r="D13">
        <v>1.44</v>
      </c>
      <c r="E13">
        <v>55</v>
      </c>
      <c r="F13">
        <v>1.25</v>
      </c>
      <c r="G13">
        <v>53</v>
      </c>
      <c r="H13">
        <v>2.5</v>
      </c>
      <c r="I13" s="64">
        <v>2.46</v>
      </c>
      <c r="J13">
        <v>6.5</v>
      </c>
      <c r="K13">
        <v>0.7</v>
      </c>
      <c r="L13">
        <v>0</v>
      </c>
      <c r="M13">
        <v>6</v>
      </c>
      <c r="N13" s="64">
        <v>0</v>
      </c>
      <c r="O13">
        <f t="shared" si="9"/>
        <v>13.224267642823884</v>
      </c>
      <c r="P13" s="63">
        <f t="shared" si="6"/>
        <v>52.19004297515216</v>
      </c>
      <c r="Q13" s="63">
        <f t="shared" si="7"/>
        <v>25892.77076686392</v>
      </c>
      <c r="R13">
        <f t="shared" si="8"/>
        <v>7.2242676428238841</v>
      </c>
    </row>
    <row r="14" spans="2:18" x14ac:dyDescent="0.25">
      <c r="B14" t="s">
        <v>100</v>
      </c>
      <c r="C14">
        <v>1.89</v>
      </c>
      <c r="D14">
        <v>0.45</v>
      </c>
      <c r="E14">
        <v>66</v>
      </c>
      <c r="F14">
        <v>1.23</v>
      </c>
      <c r="G14">
        <v>54</v>
      </c>
      <c r="H14">
        <v>4.2</v>
      </c>
      <c r="I14" s="64">
        <v>4.7</v>
      </c>
      <c r="J14">
        <v>9.1999999999999993</v>
      </c>
      <c r="K14">
        <v>6.2</v>
      </c>
      <c r="L14">
        <v>1.4</v>
      </c>
      <c r="M14">
        <v>319</v>
      </c>
      <c r="N14" s="64">
        <v>211.6</v>
      </c>
      <c r="O14">
        <f t="shared" si="9"/>
        <v>96.251798069756248</v>
      </c>
      <c r="P14" s="63">
        <f t="shared" si="6"/>
        <v>49616.761463156639</v>
      </c>
      <c r="Q14" s="63">
        <f t="shared" si="7"/>
        <v>23130.666151479276</v>
      </c>
      <c r="R14">
        <f t="shared" si="8"/>
        <v>-222.74820193024374</v>
      </c>
    </row>
    <row r="15" spans="2:18" x14ac:dyDescent="0.25">
      <c r="B15" t="s">
        <v>101</v>
      </c>
      <c r="C15">
        <v>0.41</v>
      </c>
      <c r="D15">
        <v>1.38</v>
      </c>
      <c r="E15">
        <v>66</v>
      </c>
      <c r="F15">
        <v>1.22</v>
      </c>
      <c r="G15">
        <v>54</v>
      </c>
      <c r="H15">
        <v>1.9</v>
      </c>
      <c r="I15" s="64">
        <v>1.8199999999999998</v>
      </c>
      <c r="J15">
        <v>4.0999999999999996</v>
      </c>
      <c r="K15">
        <v>7.0000000000000007E-2</v>
      </c>
      <c r="L15">
        <v>0</v>
      </c>
      <c r="M15">
        <v>3.3</v>
      </c>
      <c r="N15" s="64">
        <v>0</v>
      </c>
      <c r="O15">
        <f t="shared" si="9"/>
        <v>1.6269403497830894</v>
      </c>
      <c r="P15" s="63">
        <f t="shared" si="6"/>
        <v>2.7991285931839305</v>
      </c>
      <c r="Q15" s="63">
        <f t="shared" si="7"/>
        <v>26768.987228402377</v>
      </c>
      <c r="R15">
        <f t="shared" si="8"/>
        <v>-1.6730596502169104</v>
      </c>
    </row>
    <row r="16" spans="2:18" x14ac:dyDescent="0.25">
      <c r="B16" t="s">
        <v>102</v>
      </c>
      <c r="C16">
        <v>0.34</v>
      </c>
      <c r="D16">
        <v>1.25</v>
      </c>
      <c r="E16">
        <v>60</v>
      </c>
      <c r="F16">
        <v>1.1399999999999999</v>
      </c>
      <c r="G16">
        <v>57</v>
      </c>
      <c r="H16">
        <v>1.3</v>
      </c>
      <c r="I16" s="64">
        <v>1.2399999999999998</v>
      </c>
      <c r="J16">
        <v>4.8</v>
      </c>
      <c r="K16">
        <v>0.04</v>
      </c>
      <c r="L16">
        <v>0</v>
      </c>
      <c r="M16">
        <v>0.96</v>
      </c>
      <c r="N16" s="64">
        <v>0</v>
      </c>
      <c r="O16">
        <f t="shared" si="9"/>
        <v>0.97770313090508287</v>
      </c>
      <c r="P16" s="63">
        <f t="shared" si="6"/>
        <v>3.134008438425016E-4</v>
      </c>
      <c r="Q16" s="63">
        <f t="shared" si="7"/>
        <v>27540.16842840238</v>
      </c>
      <c r="R16">
        <f t="shared" si="8"/>
        <v>1.7703130905082909E-2</v>
      </c>
    </row>
    <row r="17" spans="2:18" x14ac:dyDescent="0.25">
      <c r="C17" t="s">
        <v>157</v>
      </c>
      <c r="D17" s="63">
        <f>CORREL(D4:D16,K4:K16)</f>
        <v>-0.80098817264850142</v>
      </c>
      <c r="E17" s="63">
        <f>CORREL(E4:E16,K4:K16)</f>
        <v>-0.22460863880564988</v>
      </c>
      <c r="F17" s="63">
        <f>CORREL(F4:F16,K4:K16)</f>
        <v>-0.356137349374752</v>
      </c>
      <c r="G17" s="63">
        <f>CORREL(G4:G16,$K$4:$K$16)</f>
        <v>0.32396627859981109</v>
      </c>
      <c r="H17" s="63">
        <f>CORREL(H4:H16,$K$4:$K$16)</f>
        <v>2.0038043767517829E-2</v>
      </c>
      <c r="I17" s="63">
        <f>CORREL(I4:I16,$K$4:$K$16)</f>
        <v>-0.24406338442918918</v>
      </c>
      <c r="J17" s="63">
        <f>CORREL(J4:J16,$K$4:$K$16)</f>
        <v>0.5289245002689108</v>
      </c>
      <c r="K17">
        <f>SUM(K4:K16)</f>
        <v>103.00999999999999</v>
      </c>
      <c r="N17" s="64"/>
      <c r="P17" s="63"/>
      <c r="Q17" s="63"/>
    </row>
    <row r="18" spans="2:18" x14ac:dyDescent="0.25">
      <c r="C18" t="s">
        <v>158</v>
      </c>
      <c r="D18" s="63">
        <f>CORREL(D4:D16,M4:M16)</f>
        <v>-0.69162611621016734</v>
      </c>
      <c r="E18" s="63">
        <f>CORREL(E4:E16,M4:M16)</f>
        <v>0.28328182485009679</v>
      </c>
      <c r="F18" s="63">
        <f>CORREL(F4:F16,$M$4:$M$16)</f>
        <v>-0.13125064246445575</v>
      </c>
      <c r="G18" s="63">
        <f>CORREL(G4:G16,$M$4:$M$16)</f>
        <v>7.6928114599457947E-2</v>
      </c>
      <c r="H18" s="63">
        <f>CORREL(H4:H16,$M$4:$M$16)</f>
        <v>0.70238907364893088</v>
      </c>
      <c r="I18" s="63">
        <f>CORREL(I4:I16,$M$4:$M$16)</f>
        <v>0.58409415696174338</v>
      </c>
      <c r="J18" s="63">
        <f>CORREL(J4:J16,$M$4:$M$16)</f>
        <v>0.81622426238878498</v>
      </c>
      <c r="N18" s="64"/>
      <c r="P18" s="63"/>
      <c r="Q18" s="63"/>
    </row>
    <row r="19" spans="2:18" x14ac:dyDescent="0.25">
      <c r="D19" s="63">
        <f>D17^2</f>
        <v>0.64158205272278557</v>
      </c>
      <c r="E19" s="63">
        <f t="shared" ref="E19:J19" si="10">E17^2</f>
        <v>5.0449040626126887E-2</v>
      </c>
      <c r="F19" s="63">
        <f t="shared" si="10"/>
        <v>0.12683381161967416</v>
      </c>
      <c r="G19" s="63">
        <f t="shared" si="10"/>
        <v>0.10495414966981041</v>
      </c>
      <c r="H19" s="63">
        <f t="shared" si="10"/>
        <v>4.0152319802896013E-4</v>
      </c>
      <c r="I19" s="63">
        <f t="shared" si="10"/>
        <v>5.9566935619030183E-2</v>
      </c>
      <c r="J19" s="63">
        <f t="shared" si="10"/>
        <v>0.279761126984717</v>
      </c>
      <c r="N19" s="64"/>
      <c r="P19" s="63"/>
      <c r="Q19" s="63"/>
    </row>
    <row r="20" spans="2:18" x14ac:dyDescent="0.25">
      <c r="D20" s="63">
        <f>D18^2</f>
        <v>0.47834668462395991</v>
      </c>
      <c r="E20" s="63">
        <f t="shared" ref="E20:J20" si="11">E18^2</f>
        <v>8.0248592290400919E-2</v>
      </c>
      <c r="F20" s="63">
        <f t="shared" si="11"/>
        <v>1.7226731147332395E-2</v>
      </c>
      <c r="G20" s="63">
        <f t="shared" si="11"/>
        <v>5.9179348158273351E-3</v>
      </c>
      <c r="H20" s="63">
        <f t="shared" si="11"/>
        <v>0.49335041078140324</v>
      </c>
      <c r="I20" s="63">
        <f t="shared" si="11"/>
        <v>0.34116598419684974</v>
      </c>
      <c r="J20" s="63">
        <f t="shared" si="11"/>
        <v>0.66622204651211614</v>
      </c>
      <c r="M20">
        <f>AVERAGE(M4:M16)</f>
        <v>166.91230769230773</v>
      </c>
      <c r="N20">
        <f t="shared" ref="N20:O20" si="12">AVERAGE(N4:N16)</f>
        <v>66.801799007692296</v>
      </c>
      <c r="O20">
        <f t="shared" si="12"/>
        <v>112.85011678819109</v>
      </c>
      <c r="P20" s="63">
        <f>SUM(P4:P16)</f>
        <v>891665.65273391863</v>
      </c>
      <c r="Q20" s="63">
        <f>SUM(Q4:Q16)</f>
        <v>888512.95163076918</v>
      </c>
      <c r="R20">
        <f>SUM(R4:R16)</f>
        <v>-702.80848175351571</v>
      </c>
    </row>
    <row r="21" spans="2:18" x14ac:dyDescent="0.25">
      <c r="D21">
        <f>CORREL(D4:D16,K4:K16)</f>
        <v>-0.80098817264850142</v>
      </c>
      <c r="E21">
        <f>D21^2</f>
        <v>0.64158205272278557</v>
      </c>
      <c r="M21">
        <f>SUM(M4:M16)</f>
        <v>2169.8600000000006</v>
      </c>
      <c r="N21">
        <f>SUM(N3:N16)</f>
        <v>2882.4233871000001</v>
      </c>
      <c r="P21" t="s">
        <v>139</v>
      </c>
      <c r="Q21" s="98">
        <f>1-(P20/Q20)</f>
        <v>-3.5482894170117962E-3</v>
      </c>
      <c r="R21">
        <f>R20/M21</f>
        <v>-0.32389577288558502</v>
      </c>
    </row>
    <row r="22" spans="2:18" x14ac:dyDescent="0.25">
      <c r="P22" t="s">
        <v>138</v>
      </c>
    </row>
    <row r="23" spans="2:18" x14ac:dyDescent="0.25">
      <c r="B23" s="182">
        <v>200000000</v>
      </c>
    </row>
    <row r="41" spans="3:8" x14ac:dyDescent="0.25">
      <c r="D41" t="s">
        <v>104</v>
      </c>
      <c r="F41" t="s">
        <v>113</v>
      </c>
      <c r="G41" t="s">
        <v>114</v>
      </c>
      <c r="H41" t="s">
        <v>115</v>
      </c>
    </row>
    <row r="42" spans="3:8" x14ac:dyDescent="0.25">
      <c r="C42" t="s">
        <v>90</v>
      </c>
      <c r="D42">
        <v>1.5</v>
      </c>
      <c r="E42" s="179"/>
      <c r="F42">
        <v>3.9</v>
      </c>
      <c r="G42">
        <v>12.8</v>
      </c>
      <c r="H42">
        <v>0.4</v>
      </c>
    </row>
    <row r="43" spans="3:8" x14ac:dyDescent="0.25">
      <c r="C43" t="s">
        <v>91</v>
      </c>
      <c r="D43">
        <v>1.22</v>
      </c>
      <c r="E43" s="179"/>
      <c r="F43">
        <v>2.2000000000000002</v>
      </c>
      <c r="G43">
        <v>13</v>
      </c>
      <c r="H43">
        <v>2.2000000000000002</v>
      </c>
    </row>
    <row r="44" spans="3:8" x14ac:dyDescent="0.25">
      <c r="C44" t="s">
        <v>92</v>
      </c>
      <c r="D44">
        <v>0.02</v>
      </c>
      <c r="E44" s="179"/>
      <c r="F44">
        <v>1.4</v>
      </c>
      <c r="G44">
        <v>41.6</v>
      </c>
      <c r="H44">
        <v>36</v>
      </c>
    </row>
    <row r="45" spans="3:8" x14ac:dyDescent="0.25">
      <c r="C45" t="s">
        <v>93</v>
      </c>
      <c r="D45">
        <v>0.59</v>
      </c>
      <c r="E45" s="179"/>
      <c r="F45">
        <v>2</v>
      </c>
      <c r="G45">
        <v>1.7</v>
      </c>
      <c r="H45">
        <v>7</v>
      </c>
    </row>
    <row r="46" spans="3:8" x14ac:dyDescent="0.25">
      <c r="C46" t="s">
        <v>94</v>
      </c>
      <c r="D46">
        <v>0.05</v>
      </c>
      <c r="E46" s="179"/>
      <c r="F46">
        <v>4.8</v>
      </c>
      <c r="G46">
        <v>68</v>
      </c>
      <c r="H46">
        <v>10</v>
      </c>
    </row>
    <row r="47" spans="3:8" x14ac:dyDescent="0.25">
      <c r="C47" t="s">
        <v>95</v>
      </c>
      <c r="D47">
        <v>7.4999999999999997E-2</v>
      </c>
      <c r="E47" s="179"/>
      <c r="F47">
        <v>4.5999999999999996</v>
      </c>
      <c r="G47">
        <v>13.3</v>
      </c>
      <c r="H47">
        <v>12</v>
      </c>
    </row>
    <row r="48" spans="3:8" x14ac:dyDescent="0.25">
      <c r="C48" t="s">
        <v>96</v>
      </c>
      <c r="D48">
        <v>1.56</v>
      </c>
      <c r="E48" s="179"/>
      <c r="F48">
        <v>1.4</v>
      </c>
      <c r="G48">
        <v>0.7</v>
      </c>
      <c r="H48">
        <v>0.2</v>
      </c>
    </row>
    <row r="49" spans="3:8" x14ac:dyDescent="0.25">
      <c r="C49" t="s">
        <v>97</v>
      </c>
      <c r="D49">
        <v>6.5000000000000002E-2</v>
      </c>
      <c r="E49" s="179"/>
      <c r="F49">
        <v>3.3</v>
      </c>
      <c r="G49">
        <v>17.399999999999999</v>
      </c>
      <c r="H49">
        <v>24.4</v>
      </c>
    </row>
    <row r="50" spans="3:8" x14ac:dyDescent="0.25">
      <c r="C50" t="s">
        <v>98</v>
      </c>
      <c r="D50">
        <v>1.2</v>
      </c>
      <c r="E50" s="179"/>
      <c r="F50">
        <v>3.4</v>
      </c>
      <c r="G50">
        <v>6.8</v>
      </c>
      <c r="H50">
        <v>3.8</v>
      </c>
    </row>
    <row r="51" spans="3:8" x14ac:dyDescent="0.25">
      <c r="C51" t="s">
        <v>99</v>
      </c>
      <c r="D51">
        <v>1.44</v>
      </c>
      <c r="E51" s="179"/>
      <c r="F51">
        <v>2.5</v>
      </c>
      <c r="G51">
        <v>6.5</v>
      </c>
      <c r="H51">
        <v>0.7</v>
      </c>
    </row>
    <row r="52" spans="3:8" x14ac:dyDescent="0.25">
      <c r="C52" t="s">
        <v>100</v>
      </c>
      <c r="D52">
        <v>0.45</v>
      </c>
      <c r="E52" s="179"/>
      <c r="F52">
        <v>4.2</v>
      </c>
      <c r="G52">
        <v>9.1999999999999993</v>
      </c>
      <c r="H52">
        <v>6.2</v>
      </c>
    </row>
    <row r="53" spans="3:8" x14ac:dyDescent="0.25">
      <c r="C53" t="s">
        <v>101</v>
      </c>
      <c r="D53">
        <v>1.38</v>
      </c>
      <c r="E53" s="179"/>
      <c r="F53">
        <v>1.9</v>
      </c>
      <c r="G53">
        <v>4.0999999999999996</v>
      </c>
      <c r="H53">
        <v>7.0000000000000007E-2</v>
      </c>
    </row>
    <row r="54" spans="3:8" x14ac:dyDescent="0.25">
      <c r="C54" t="s">
        <v>102</v>
      </c>
      <c r="D54">
        <v>1.65</v>
      </c>
      <c r="E54" s="179"/>
      <c r="F54">
        <v>1.3</v>
      </c>
      <c r="G54">
        <v>4.8</v>
      </c>
      <c r="H54">
        <v>0.04</v>
      </c>
    </row>
  </sheetData>
  <mergeCells count="2">
    <mergeCell ref="K2:L2"/>
    <mergeCell ref="M2:N2"/>
  </mergeCells>
  <pageMargins left="0.7" right="0.7" top="0.75" bottom="0.75" header="0.3" footer="0.3"/>
  <pageSetup orientation="portrait" horizontalDpi="4294967295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3"/>
  <sheetViews>
    <sheetView topLeftCell="V2" zoomScale="75" zoomScaleNormal="75" workbookViewId="0">
      <selection activeCell="AQ5" sqref="AQ5:AS7"/>
    </sheetView>
  </sheetViews>
  <sheetFormatPr defaultRowHeight="15" x14ac:dyDescent="0.25"/>
  <cols>
    <col min="1" max="1" width="9.7109375" bestFit="1" customWidth="1"/>
    <col min="3" max="4" width="10.85546875" bestFit="1" customWidth="1"/>
    <col min="5" max="5" width="9.7109375" bestFit="1" customWidth="1"/>
    <col min="6" max="7" width="10.85546875" bestFit="1" customWidth="1"/>
    <col min="11" max="11" width="10.85546875" bestFit="1" customWidth="1"/>
    <col min="17" max="17" width="9.7109375" bestFit="1" customWidth="1"/>
    <col min="23" max="23" width="10.85546875" bestFit="1" customWidth="1"/>
    <col min="29" max="29" width="9.7109375" bestFit="1" customWidth="1"/>
    <col min="34" max="34" width="9.7109375" bestFit="1" customWidth="1"/>
    <col min="37" max="38" width="9.7109375" bestFit="1" customWidth="1"/>
  </cols>
  <sheetData>
    <row r="1" spans="1:46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(1.7*3.4)-((0.4209*3.4^5)/5+(1.2792*3.4^4)/4+(0.7706*3.4^3)/3 -(1.0473*3.4^2)/2 -(2.4751*3.4))</f>
        <v>-70.830718669866656</v>
      </c>
      <c r="AG1" s="64"/>
      <c r="AH1" s="47">
        <v>41453</v>
      </c>
      <c r="AI1" s="47">
        <v>41491</v>
      </c>
      <c r="AJ1" s="47">
        <v>41495</v>
      </c>
      <c r="AK1" s="47">
        <v>41517</v>
      </c>
    </row>
    <row r="2" spans="1:46" ht="15.75" thickBot="1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/>
      <c r="AI2" s="218"/>
      <c r="AJ2" s="218"/>
      <c r="AK2" s="218"/>
      <c r="AL2" s="218"/>
      <c r="AM2" s="218"/>
      <c r="AN2" s="218"/>
      <c r="AO2" s="218"/>
      <c r="AP2" s="3"/>
      <c r="AQ2" s="3"/>
      <c r="AR2" s="3"/>
      <c r="AS2" s="3"/>
      <c r="AT2" s="3"/>
    </row>
    <row r="3" spans="1:46" x14ac:dyDescent="0.25">
      <c r="C3" s="1"/>
      <c r="D3" s="47">
        <v>41453</v>
      </c>
      <c r="E3" s="102"/>
      <c r="F3" s="2"/>
      <c r="G3" s="2"/>
      <c r="K3" s="102">
        <v>41478</v>
      </c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5">
        <v>41491</v>
      </c>
      <c r="AJ3" s="105">
        <v>41495</v>
      </c>
      <c r="AK3" s="106">
        <v>41516</v>
      </c>
      <c r="AL3" s="103">
        <v>41453</v>
      </c>
      <c r="AM3" s="105">
        <v>41491</v>
      </c>
      <c r="AN3" s="105">
        <v>41495</v>
      </c>
      <c r="AO3" s="106" t="s">
        <v>2</v>
      </c>
      <c r="AP3" s="1"/>
    </row>
    <row r="4" spans="1:46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/>
      <c r="J4" s="4"/>
      <c r="K4" s="4"/>
      <c r="L4" s="4"/>
      <c r="M4" s="4"/>
      <c r="N4" s="4"/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0" t="s">
        <v>37</v>
      </c>
      <c r="AM4" s="71" t="s">
        <v>38</v>
      </c>
      <c r="AN4" s="71" t="s">
        <v>39</v>
      </c>
      <c r="AO4" s="71" t="s">
        <v>40</v>
      </c>
      <c r="AR4" s="197" t="s">
        <v>10</v>
      </c>
      <c r="AS4" s="197" t="s">
        <v>12</v>
      </c>
    </row>
    <row r="5" spans="1:46" x14ac:dyDescent="0.25">
      <c r="A5" s="219" t="s">
        <v>14</v>
      </c>
      <c r="B5" s="5" t="s">
        <v>10</v>
      </c>
      <c r="C5" s="121"/>
      <c r="D5" s="122"/>
      <c r="E5" s="122"/>
      <c r="F5" s="122"/>
      <c r="G5" s="122"/>
      <c r="H5" s="123"/>
      <c r="I5" s="116"/>
      <c r="J5" s="116"/>
      <c r="K5" s="116"/>
      <c r="L5" s="116"/>
      <c r="M5" s="116"/>
      <c r="N5" s="116"/>
      <c r="O5" s="121"/>
      <c r="P5" s="122"/>
      <c r="Q5" s="122"/>
      <c r="R5" s="122"/>
      <c r="S5" s="122"/>
      <c r="T5" s="123"/>
      <c r="U5" s="6">
        <v>-1.4</v>
      </c>
      <c r="V5" s="7">
        <v>-1.2</v>
      </c>
      <c r="W5" s="7">
        <v>-0.6</v>
      </c>
      <c r="X5" s="7">
        <v>0.6</v>
      </c>
      <c r="Y5" s="7">
        <v>1.4</v>
      </c>
      <c r="Z5" s="9">
        <v>1.6</v>
      </c>
      <c r="AA5" s="10">
        <v>-1.6</v>
      </c>
      <c r="AB5" s="10">
        <v>-1.4</v>
      </c>
      <c r="AC5" s="10">
        <v>-0.6</v>
      </c>
      <c r="AD5" s="10">
        <v>0.6</v>
      </c>
      <c r="AE5" s="10">
        <v>1.5</v>
      </c>
      <c r="AF5" s="11">
        <v>1.7</v>
      </c>
      <c r="AG5" s="16" t="s">
        <v>14</v>
      </c>
      <c r="AH5" s="74">
        <f t="shared" ref="AH5:AK7" si="0">AG15</f>
        <v>0</v>
      </c>
      <c r="AI5" s="74">
        <f t="shared" si="0"/>
        <v>0</v>
      </c>
      <c r="AJ5" s="74">
        <f t="shared" si="0"/>
        <v>3.99</v>
      </c>
      <c r="AK5" s="74">
        <f t="shared" si="0"/>
        <v>5.4275000000000002</v>
      </c>
      <c r="AL5" s="49"/>
      <c r="AM5" s="49"/>
      <c r="AN5" s="49"/>
      <c r="AO5" s="81"/>
      <c r="AQ5" s="16" t="s">
        <v>14</v>
      </c>
      <c r="AR5">
        <f>AF5-AA5</f>
        <v>3.3</v>
      </c>
      <c r="AS5">
        <f>AA7</f>
        <v>2.2000000000000002</v>
      </c>
    </row>
    <row r="6" spans="1:46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5"/>
      <c r="J6" s="125"/>
      <c r="K6" s="125"/>
      <c r="L6" s="125"/>
      <c r="M6" s="125"/>
      <c r="N6" s="125"/>
      <c r="O6" s="124"/>
      <c r="P6" s="125"/>
      <c r="Q6" s="125"/>
      <c r="R6" s="125"/>
      <c r="S6" s="125"/>
      <c r="T6" s="126"/>
      <c r="U6" s="13">
        <v>0</v>
      </c>
      <c r="V6" s="14">
        <v>-0.8</v>
      </c>
      <c r="W6" s="14">
        <v>-1.8</v>
      </c>
      <c r="X6" s="14">
        <v>-1.7</v>
      </c>
      <c r="Y6" s="14">
        <v>-0.7</v>
      </c>
      <c r="Z6" s="15">
        <v>0</v>
      </c>
      <c r="AA6" s="16">
        <v>0</v>
      </c>
      <c r="AB6" s="16">
        <v>-0.9</v>
      </c>
      <c r="AC6" s="16">
        <v>-2.2000000000000002</v>
      </c>
      <c r="AD6" s="16">
        <v>-2.2000000000000002</v>
      </c>
      <c r="AE6" s="16">
        <v>-0.85</v>
      </c>
      <c r="AF6" s="17">
        <v>0</v>
      </c>
      <c r="AG6" s="16" t="s">
        <v>13</v>
      </c>
      <c r="AH6" s="74">
        <f t="shared" si="0"/>
        <v>4.2975000000000003</v>
      </c>
      <c r="AI6" s="74">
        <f t="shared" si="0"/>
        <v>5.4700000000000006</v>
      </c>
      <c r="AJ6" s="74">
        <f t="shared" si="0"/>
        <v>8.0400000000000009</v>
      </c>
      <c r="AK6" s="74">
        <f t="shared" si="0"/>
        <v>10.33</v>
      </c>
      <c r="AL6" s="139"/>
      <c r="AM6" s="139"/>
      <c r="AN6" s="73">
        <f>(AJ5+AJ6)/2*$AA$7</f>
        <v>13.233000000000002</v>
      </c>
      <c r="AO6" s="73">
        <f>(AK5+AK6)/2*$AA$7</f>
        <v>17.333250000000003</v>
      </c>
      <c r="AQ6" s="16" t="s">
        <v>13</v>
      </c>
      <c r="AR6">
        <f>AF8-AA8</f>
        <v>5.0999999999999996</v>
      </c>
      <c r="AS6">
        <f>AA10</f>
        <v>1.9</v>
      </c>
    </row>
    <row r="7" spans="1:46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8"/>
      <c r="J7" s="118"/>
      <c r="K7" s="118"/>
      <c r="L7" s="118"/>
      <c r="M7" s="118"/>
      <c r="N7" s="118"/>
      <c r="O7" s="117"/>
      <c r="P7" s="118"/>
      <c r="Q7" s="118"/>
      <c r="R7" s="118"/>
      <c r="S7" s="118"/>
      <c r="T7" s="119"/>
      <c r="U7" s="22">
        <v>1</v>
      </c>
      <c r="V7" s="23"/>
      <c r="W7" s="23"/>
      <c r="X7" s="23"/>
      <c r="Y7" s="23"/>
      <c r="Z7" s="24"/>
      <c r="AA7" s="25">
        <v>2.2000000000000002</v>
      </c>
      <c r="AB7" s="25"/>
      <c r="AC7" s="25"/>
      <c r="AD7" s="25"/>
      <c r="AE7" s="25"/>
      <c r="AF7" s="26"/>
      <c r="AG7" s="16" t="s">
        <v>9</v>
      </c>
      <c r="AH7" s="74">
        <f t="shared" si="0"/>
        <v>7.72</v>
      </c>
      <c r="AI7" s="74">
        <f t="shared" si="0"/>
        <v>9.2759999999999998</v>
      </c>
      <c r="AJ7" s="74">
        <f t="shared" si="0"/>
        <v>9.2334999999999994</v>
      </c>
      <c r="AK7" s="74">
        <f t="shared" si="0"/>
        <v>11.950000000000001</v>
      </c>
      <c r="AL7" s="73">
        <f>(AH6+AH7)/2*$AA$10</f>
        <v>11.416625</v>
      </c>
      <c r="AM7" s="73">
        <f>(AI6+AI7)/2*$AA$10</f>
        <v>14.008699999999999</v>
      </c>
      <c r="AN7" s="73">
        <f>(AJ6+AJ7)/2*$AA$10</f>
        <v>16.409824999999998</v>
      </c>
      <c r="AO7" s="73">
        <f>(AK6+AK7)/2*$AA$10</f>
        <v>21.166</v>
      </c>
      <c r="AQ7" s="16" t="s">
        <v>9</v>
      </c>
      <c r="AR7" s="211">
        <f>AF11-AA11</f>
        <v>7.3000000000000007</v>
      </c>
    </row>
    <row r="8" spans="1:46" x14ac:dyDescent="0.25">
      <c r="A8" s="219" t="s">
        <v>13</v>
      </c>
      <c r="B8" s="12" t="s">
        <v>10</v>
      </c>
      <c r="C8" s="30">
        <v>-1.8</v>
      </c>
      <c r="D8" s="31">
        <v>-1.6</v>
      </c>
      <c r="E8" s="31">
        <v>-0.7</v>
      </c>
      <c r="F8" s="31">
        <v>0.9</v>
      </c>
      <c r="G8" s="31">
        <v>1.1000000000000001</v>
      </c>
      <c r="H8" s="32">
        <v>1.35</v>
      </c>
      <c r="I8" s="30">
        <v>-1.8</v>
      </c>
      <c r="J8" s="31">
        <v>-1.6</v>
      </c>
      <c r="K8" s="31">
        <v>-0.7</v>
      </c>
      <c r="L8" s="31">
        <v>0.9</v>
      </c>
      <c r="M8" s="31">
        <v>1.1000000000000001</v>
      </c>
      <c r="N8" s="32">
        <v>1.35</v>
      </c>
      <c r="O8" s="30">
        <v>-2.1</v>
      </c>
      <c r="P8" s="31">
        <v>-1.8</v>
      </c>
      <c r="Q8" s="31">
        <v>-0.85</v>
      </c>
      <c r="R8" s="31">
        <v>0.9</v>
      </c>
      <c r="S8" s="31">
        <v>1.1499999999999999</v>
      </c>
      <c r="T8" s="32">
        <v>1.35</v>
      </c>
      <c r="U8" s="30">
        <v>-2.2999999999999998</v>
      </c>
      <c r="V8" s="31">
        <v>-2</v>
      </c>
      <c r="W8" s="31">
        <v>-0.9</v>
      </c>
      <c r="X8" s="31">
        <v>1</v>
      </c>
      <c r="Y8" s="31">
        <v>1.5</v>
      </c>
      <c r="Z8" s="32">
        <v>1.75</v>
      </c>
      <c r="AA8" s="16">
        <v>-2.5</v>
      </c>
      <c r="AB8" s="111">
        <v>-2.2999999999999998</v>
      </c>
      <c r="AC8" s="111">
        <v>-0.9</v>
      </c>
      <c r="AD8" s="111">
        <v>1</v>
      </c>
      <c r="AE8" s="111">
        <v>2.4</v>
      </c>
      <c r="AF8" s="29">
        <v>2.6</v>
      </c>
      <c r="AG8" s="16" t="s">
        <v>86</v>
      </c>
      <c r="AH8" s="74">
        <f>SUM(AH5:AH7)</f>
        <v>12.0175</v>
      </c>
      <c r="AI8" s="74">
        <f>SUM(AI5:AI7)</f>
        <v>14.746</v>
      </c>
      <c r="AJ8" s="74">
        <f>SUM(AJ5:AJ7)</f>
        <v>21.263500000000001</v>
      </c>
      <c r="AK8" s="74">
        <f>SUM(AK5:AK7)</f>
        <v>27.707500000000003</v>
      </c>
      <c r="AL8" s="82">
        <f>SUM(AL6+AL7)</f>
        <v>11.416625</v>
      </c>
      <c r="AM8" s="82">
        <f>SUM(AM6+AM7)</f>
        <v>14.008699999999999</v>
      </c>
      <c r="AN8" s="82">
        <f>SUM(AN6+AN7)</f>
        <v>29.642825000000002</v>
      </c>
      <c r="AO8" s="82">
        <f>SUM(AO6+AO7)</f>
        <v>38.499250000000004</v>
      </c>
      <c r="AP8">
        <v>42.575580890000012</v>
      </c>
    </row>
    <row r="9" spans="1:46" x14ac:dyDescent="0.25">
      <c r="A9" s="220"/>
      <c r="B9" s="12" t="s">
        <v>11</v>
      </c>
      <c r="C9" s="16">
        <v>0</v>
      </c>
      <c r="D9" s="111">
        <v>-0.8</v>
      </c>
      <c r="E9" s="111">
        <v>-1.7</v>
      </c>
      <c r="F9" s="111">
        <v>-1.7</v>
      </c>
      <c r="G9" s="111">
        <v>-0.9</v>
      </c>
      <c r="H9" s="29">
        <v>0</v>
      </c>
      <c r="I9" s="16">
        <v>0</v>
      </c>
      <c r="J9" s="194">
        <v>-0.8</v>
      </c>
      <c r="K9" s="194">
        <v>-1.7</v>
      </c>
      <c r="L9" s="194">
        <v>-1.7</v>
      </c>
      <c r="M9" s="194">
        <v>-0.9</v>
      </c>
      <c r="N9" s="29">
        <v>0</v>
      </c>
      <c r="O9" s="16">
        <v>0</v>
      </c>
      <c r="P9" s="111">
        <v>-0.8</v>
      </c>
      <c r="Q9" s="111">
        <v>-2</v>
      </c>
      <c r="R9" s="111">
        <v>-2</v>
      </c>
      <c r="S9" s="111">
        <v>-1.2</v>
      </c>
      <c r="T9" s="29">
        <v>0</v>
      </c>
      <c r="U9" s="16">
        <v>0</v>
      </c>
      <c r="V9" s="111">
        <v>-1.2</v>
      </c>
      <c r="W9" s="111">
        <v>-2.5</v>
      </c>
      <c r="X9" s="111">
        <v>-2.5</v>
      </c>
      <c r="Y9" s="111">
        <v>-1.2</v>
      </c>
      <c r="Z9" s="29">
        <v>0</v>
      </c>
      <c r="AA9" s="16">
        <v>0</v>
      </c>
      <c r="AB9" s="111">
        <v>-1.2</v>
      </c>
      <c r="AC9" s="111">
        <v>-2.5</v>
      </c>
      <c r="AD9" s="111">
        <v>-2.5</v>
      </c>
      <c r="AE9" s="111">
        <v>-1.4</v>
      </c>
      <c r="AF9" s="29">
        <v>0</v>
      </c>
      <c r="AG9" s="16"/>
      <c r="AH9" s="74"/>
      <c r="AI9" s="77"/>
      <c r="AJ9" s="74"/>
      <c r="AK9" s="75">
        <f>AK8-AH8</f>
        <v>15.690000000000003</v>
      </c>
      <c r="AL9" s="82"/>
      <c r="AM9" s="82"/>
      <c r="AN9" s="82"/>
      <c r="AO9" s="83">
        <f>AO8-AL8</f>
        <v>27.082625000000004</v>
      </c>
      <c r="AP9">
        <v>31.749150362810013</v>
      </c>
    </row>
    <row r="10" spans="1:46" ht="15.75" thickBot="1" x14ac:dyDescent="0.3">
      <c r="A10" s="221"/>
      <c r="B10" s="12" t="s">
        <v>12</v>
      </c>
      <c r="C10" s="30"/>
      <c r="D10" s="31"/>
      <c r="E10" s="31"/>
      <c r="F10" s="31"/>
      <c r="G10" s="31"/>
      <c r="H10" s="32"/>
      <c r="I10" s="30"/>
      <c r="J10" s="31"/>
      <c r="K10" s="31"/>
      <c r="L10" s="31"/>
      <c r="M10" s="31"/>
      <c r="N10" s="32"/>
      <c r="O10" s="30"/>
      <c r="P10" s="31"/>
      <c r="Q10" s="31"/>
      <c r="R10" s="31"/>
      <c r="S10" s="31"/>
      <c r="T10" s="32"/>
      <c r="U10" s="30"/>
      <c r="V10" s="31"/>
      <c r="W10" s="31"/>
      <c r="X10" s="31"/>
      <c r="Y10" s="31"/>
      <c r="Z10" s="32"/>
      <c r="AA10" s="16">
        <v>1.9</v>
      </c>
      <c r="AB10" s="111"/>
      <c r="AC10" s="111"/>
      <c r="AD10" s="111"/>
      <c r="AE10" s="111"/>
      <c r="AF10" s="29"/>
      <c r="AG10" s="16"/>
      <c r="AH10" s="134"/>
      <c r="AI10" s="134"/>
      <c r="AJ10" s="134"/>
      <c r="AK10" s="136"/>
      <c r="AL10" s="82"/>
      <c r="AM10" s="82"/>
      <c r="AN10" s="82"/>
      <c r="AO10" s="83"/>
    </row>
    <row r="11" spans="1:46" x14ac:dyDescent="0.25">
      <c r="A11" s="219" t="s">
        <v>9</v>
      </c>
      <c r="B11" s="5" t="s">
        <v>10</v>
      </c>
      <c r="C11" s="35">
        <v>-2.77</v>
      </c>
      <c r="D11" s="36">
        <v>-2.5499999999999998</v>
      </c>
      <c r="E11" s="36">
        <v>-0.8</v>
      </c>
      <c r="F11" s="36">
        <v>0.9</v>
      </c>
      <c r="G11" s="36">
        <v>2.9</v>
      </c>
      <c r="H11" s="9">
        <v>3.2</v>
      </c>
      <c r="I11" s="35">
        <v>-2.77</v>
      </c>
      <c r="J11" s="36">
        <v>-2.5499999999999998</v>
      </c>
      <c r="K11" s="36">
        <v>-0.8</v>
      </c>
      <c r="L11" s="36">
        <v>0.9</v>
      </c>
      <c r="M11" s="36">
        <v>2.9</v>
      </c>
      <c r="N11" s="9">
        <v>3.2</v>
      </c>
      <c r="O11" s="35">
        <v>-3.17</v>
      </c>
      <c r="P11" s="36">
        <v>-2.95</v>
      </c>
      <c r="Q11" s="36">
        <v>-1</v>
      </c>
      <c r="R11" s="36">
        <v>1</v>
      </c>
      <c r="S11" s="36">
        <v>3.1</v>
      </c>
      <c r="T11" s="9">
        <v>3.3</v>
      </c>
      <c r="U11" s="35">
        <v>-3.17</v>
      </c>
      <c r="V11" s="36">
        <v>-2.95</v>
      </c>
      <c r="W11" s="36">
        <v>-1</v>
      </c>
      <c r="X11" s="36">
        <v>1</v>
      </c>
      <c r="Y11" s="36">
        <v>3.2</v>
      </c>
      <c r="Z11" s="9">
        <v>3.4</v>
      </c>
      <c r="AA11" s="10">
        <v>-3.6</v>
      </c>
      <c r="AB11" s="34">
        <v>-3.45</v>
      </c>
      <c r="AC11" s="34">
        <v>-1</v>
      </c>
      <c r="AD11" s="34">
        <v>1.2</v>
      </c>
      <c r="AE11" s="34">
        <v>3.5</v>
      </c>
      <c r="AF11" s="8">
        <v>3.7</v>
      </c>
      <c r="AG11" s="16"/>
      <c r="AH11" s="1" t="s">
        <v>79</v>
      </c>
      <c r="AI11" s="134"/>
      <c r="AJ11" s="134">
        <f>(AC6+AC9+AC12)/3</f>
        <v>-2.2333333333333334</v>
      </c>
      <c r="AK11" s="136"/>
      <c r="AL11" s="3"/>
      <c r="AM11" s="82"/>
      <c r="AN11" s="82"/>
      <c r="AO11" s="83"/>
    </row>
    <row r="12" spans="1:46" x14ac:dyDescent="0.25">
      <c r="A12" s="220"/>
      <c r="B12" s="12" t="s">
        <v>11</v>
      </c>
      <c r="C12" s="30">
        <v>0</v>
      </c>
      <c r="D12" s="31">
        <v>-0.7</v>
      </c>
      <c r="E12" s="31">
        <v>-1.7</v>
      </c>
      <c r="F12" s="31">
        <v>-1.78</v>
      </c>
      <c r="G12" s="31">
        <v>-0.7</v>
      </c>
      <c r="H12" s="32">
        <v>0</v>
      </c>
      <c r="I12" s="30">
        <v>0</v>
      </c>
      <c r="J12" s="31">
        <v>-0.7</v>
      </c>
      <c r="K12" s="31">
        <v>-1.7</v>
      </c>
      <c r="L12" s="31">
        <v>-1.78</v>
      </c>
      <c r="M12" s="31">
        <v>-0.7</v>
      </c>
      <c r="N12" s="32">
        <v>0</v>
      </c>
      <c r="O12" s="30">
        <v>0</v>
      </c>
      <c r="P12" s="31">
        <v>-0.6</v>
      </c>
      <c r="Q12" s="31">
        <v>-2</v>
      </c>
      <c r="R12" s="31">
        <v>-2</v>
      </c>
      <c r="S12" s="31">
        <v>-0.5</v>
      </c>
      <c r="T12" s="32">
        <v>0</v>
      </c>
      <c r="U12" s="30">
        <v>0</v>
      </c>
      <c r="V12" s="31">
        <v>-0.6</v>
      </c>
      <c r="W12" s="31">
        <v>-1.9</v>
      </c>
      <c r="X12" s="31">
        <v>-1.9</v>
      </c>
      <c r="Y12" s="31">
        <v>-0.7</v>
      </c>
      <c r="Z12" s="32">
        <v>0</v>
      </c>
      <c r="AA12" s="16">
        <v>0</v>
      </c>
      <c r="AB12" s="111">
        <v>-1</v>
      </c>
      <c r="AC12" s="111">
        <v>-2</v>
      </c>
      <c r="AD12" s="111">
        <v>-2</v>
      </c>
      <c r="AE12" s="111">
        <v>-1.2</v>
      </c>
      <c r="AF12" s="29">
        <v>0</v>
      </c>
      <c r="AG12" s="16"/>
      <c r="AH12" s="1"/>
      <c r="AI12" s="1"/>
      <c r="AJ12" s="1"/>
      <c r="AK12" s="136"/>
      <c r="AL12" s="3"/>
      <c r="AM12" s="3"/>
      <c r="AN12" s="82"/>
      <c r="AO12" s="83"/>
    </row>
    <row r="13" spans="1:46" ht="15.75" thickBot="1" x14ac:dyDescent="0.3">
      <c r="A13" s="221"/>
      <c r="B13" s="18" t="s">
        <v>12</v>
      </c>
      <c r="C13" s="22"/>
      <c r="D13" s="23"/>
      <c r="E13" s="23"/>
      <c r="F13" s="23"/>
      <c r="G13" s="23"/>
      <c r="H13" s="24"/>
      <c r="I13" s="22"/>
      <c r="J13" s="23"/>
      <c r="K13" s="23"/>
      <c r="L13" s="23"/>
      <c r="M13" s="23"/>
      <c r="N13" s="24"/>
      <c r="O13" s="22"/>
      <c r="P13" s="23"/>
      <c r="Q13" s="23"/>
      <c r="R13" s="23"/>
      <c r="S13" s="23"/>
      <c r="T13" s="24"/>
      <c r="U13" s="22"/>
      <c r="V13" s="23"/>
      <c r="W13" s="23"/>
      <c r="X13" s="23"/>
      <c r="Y13" s="23"/>
      <c r="Z13" s="24"/>
      <c r="AA13" s="25">
        <v>0</v>
      </c>
      <c r="AB13" s="20"/>
      <c r="AC13" s="20"/>
      <c r="AD13" s="20"/>
      <c r="AE13" s="20"/>
      <c r="AF13" s="21"/>
      <c r="AG13" s="16"/>
      <c r="AH13" s="137"/>
      <c r="AI13" s="137"/>
      <c r="AJ13" s="137"/>
      <c r="AK13" s="138"/>
      <c r="AL13" s="58"/>
      <c r="AM13" s="58"/>
      <c r="AN13" s="58"/>
      <c r="AO13" s="84"/>
    </row>
    <row r="14" spans="1:46" x14ac:dyDescent="0.25">
      <c r="A14" s="47"/>
      <c r="B14" s="63"/>
    </row>
    <row r="15" spans="1:46" x14ac:dyDescent="0.25">
      <c r="A15" s="47"/>
      <c r="B15" s="63"/>
      <c r="C15">
        <f>(C5*D6)-(C6*D5)</f>
        <v>0</v>
      </c>
      <c r="D15">
        <f t="shared" ref="D15:AE15" si="1">(D5*E6)-(D6*E5)</f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>(H5*C6)-(H6*C5)</f>
        <v>0</v>
      </c>
      <c r="I15">
        <f>(I5*J6)-(I6*J5)</f>
        <v>0</v>
      </c>
      <c r="J15">
        <f t="shared" ref="J15" si="2">(J5*K6)-(J6*K5)</f>
        <v>0</v>
      </c>
      <c r="K15">
        <f t="shared" ref="K15" si="3">(K5*L6)-(K6*L5)</f>
        <v>0</v>
      </c>
      <c r="L15">
        <f t="shared" ref="L15" si="4">(L5*M6)-(L6*M5)</f>
        <v>0</v>
      </c>
      <c r="M15">
        <f t="shared" ref="M15" si="5">(M5*N6)-(M6*N5)</f>
        <v>0</v>
      </c>
      <c r="N15">
        <f>(N5*I6)-(N6*I5)</f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>(T5*O6)-(T6*O5)</f>
        <v>0</v>
      </c>
      <c r="U15">
        <f t="shared" si="1"/>
        <v>1.1199999999999999</v>
      </c>
      <c r="V15">
        <f t="shared" si="1"/>
        <v>1.6800000000000002</v>
      </c>
      <c r="W15">
        <f t="shared" si="1"/>
        <v>2.1</v>
      </c>
      <c r="X15">
        <f t="shared" si="1"/>
        <v>1.96</v>
      </c>
      <c r="Y15">
        <f t="shared" si="1"/>
        <v>1.1199999999999999</v>
      </c>
      <c r="Z15">
        <f>(Z5*U6)-(Z6*U5)</f>
        <v>0</v>
      </c>
      <c r="AA15">
        <f t="shared" si="1"/>
        <v>1.4400000000000002</v>
      </c>
      <c r="AB15">
        <f t="shared" si="1"/>
        <v>2.54</v>
      </c>
      <c r="AC15">
        <f t="shared" si="1"/>
        <v>2.64</v>
      </c>
      <c r="AD15">
        <f t="shared" si="1"/>
        <v>2.79</v>
      </c>
      <c r="AE15">
        <f t="shared" si="1"/>
        <v>1.4449999999999998</v>
      </c>
      <c r="AF15">
        <f>(AF5*AA6)-(AF6*AA5)</f>
        <v>0</v>
      </c>
      <c r="AG15">
        <f>ABS(SUM(C15:H15))/2</f>
        <v>0</v>
      </c>
      <c r="AH15">
        <f>ABS(SUM(O15:T15))/2</f>
        <v>0</v>
      </c>
      <c r="AI15">
        <f>ABS(SUM(U15:Z15))/2</f>
        <v>3.99</v>
      </c>
      <c r="AJ15" s="63">
        <f>ABS(SUM(AA15:AF15))/2</f>
        <v>5.4275000000000002</v>
      </c>
    </row>
    <row r="16" spans="1:46" ht="14.25" customHeight="1" x14ac:dyDescent="0.25">
      <c r="A16" s="47"/>
      <c r="B16" s="63"/>
      <c r="C16">
        <f>(C8*D9)-(C9*D8)</f>
        <v>1.4400000000000002</v>
      </c>
      <c r="D16">
        <f t="shared" ref="D16:AE16" si="6">(D8*E9)-(D9*E8)</f>
        <v>2.16</v>
      </c>
      <c r="E16">
        <f t="shared" si="6"/>
        <v>2.7199999999999998</v>
      </c>
      <c r="F16">
        <f t="shared" si="6"/>
        <v>1.06</v>
      </c>
      <c r="G16">
        <f t="shared" si="6"/>
        <v>1.2150000000000001</v>
      </c>
      <c r="H16">
        <f>(H8*C9)-(H9*C8)</f>
        <v>0</v>
      </c>
      <c r="I16">
        <f>(I8*J9)-(I9*J8)</f>
        <v>1.4400000000000002</v>
      </c>
      <c r="J16">
        <f t="shared" ref="J16" si="7">(J8*K9)-(J9*K8)</f>
        <v>2.16</v>
      </c>
      <c r="K16">
        <f t="shared" ref="K16" si="8">(K8*L9)-(K9*L8)</f>
        <v>2.7199999999999998</v>
      </c>
      <c r="L16">
        <f t="shared" ref="L16" si="9">(L8*M9)-(L9*M8)</f>
        <v>1.06</v>
      </c>
      <c r="M16">
        <f t="shared" ref="M16" si="10">(M8*N9)-(M9*N8)</f>
        <v>1.2150000000000001</v>
      </c>
      <c r="N16">
        <f>(N8*I9)-(N9*I8)</f>
        <v>0</v>
      </c>
      <c r="O16">
        <f t="shared" si="6"/>
        <v>1.6800000000000002</v>
      </c>
      <c r="P16">
        <f t="shared" si="6"/>
        <v>2.92</v>
      </c>
      <c r="Q16">
        <f t="shared" si="6"/>
        <v>3.5</v>
      </c>
      <c r="R16">
        <f t="shared" si="6"/>
        <v>1.2199999999999998</v>
      </c>
      <c r="S16">
        <f t="shared" si="6"/>
        <v>1.62</v>
      </c>
      <c r="T16">
        <f>(T8*O9)-(T9*O8)</f>
        <v>0</v>
      </c>
      <c r="U16">
        <f t="shared" si="6"/>
        <v>2.76</v>
      </c>
      <c r="V16">
        <f t="shared" si="6"/>
        <v>3.92</v>
      </c>
      <c r="W16">
        <f t="shared" si="6"/>
        <v>4.75</v>
      </c>
      <c r="X16">
        <f t="shared" si="6"/>
        <v>2.5499999999999998</v>
      </c>
      <c r="Y16">
        <f t="shared" si="6"/>
        <v>2.1</v>
      </c>
      <c r="Z16">
        <f>(Z8*U9)-(Z9*U8)</f>
        <v>0</v>
      </c>
      <c r="AA16">
        <f t="shared" si="6"/>
        <v>3</v>
      </c>
      <c r="AB16">
        <f t="shared" si="6"/>
        <v>4.67</v>
      </c>
      <c r="AC16">
        <f t="shared" si="6"/>
        <v>4.75</v>
      </c>
      <c r="AD16">
        <f t="shared" si="6"/>
        <v>4.5999999999999996</v>
      </c>
      <c r="AE16">
        <f t="shared" si="6"/>
        <v>3.6399999999999997</v>
      </c>
      <c r="AF16">
        <f>(AF8*AA9)-(AF9*AA8)</f>
        <v>0</v>
      </c>
      <c r="AG16">
        <f>ABS(SUM(C16:H16))/2</f>
        <v>4.2975000000000003</v>
      </c>
      <c r="AH16">
        <f>ABS(SUM(O16:T16))/2</f>
        <v>5.4700000000000006</v>
      </c>
      <c r="AI16">
        <f>ABS(SUM(U16:Z16))/2</f>
        <v>8.0400000000000009</v>
      </c>
      <c r="AJ16" s="63">
        <f>ABS(SUM(AA16:AF16))/2</f>
        <v>10.33</v>
      </c>
    </row>
    <row r="17" spans="1:36" x14ac:dyDescent="0.25">
      <c r="A17" s="47"/>
      <c r="B17" s="63"/>
      <c r="C17">
        <f>(C11*D12)-(C12*D11)</f>
        <v>1.9389999999999998</v>
      </c>
      <c r="D17">
        <f t="shared" ref="D17:AE17" si="11">(D11*E12)-(D12*E11)</f>
        <v>3.7749999999999999</v>
      </c>
      <c r="E17">
        <f t="shared" si="11"/>
        <v>2.9540000000000002</v>
      </c>
      <c r="F17">
        <f t="shared" si="11"/>
        <v>4.532</v>
      </c>
      <c r="G17">
        <f t="shared" si="11"/>
        <v>2.2399999999999998</v>
      </c>
      <c r="H17">
        <f>(H11*C12)-(H12*C11)</f>
        <v>0</v>
      </c>
      <c r="I17">
        <f>(I11*J12)-(I12*J11)</f>
        <v>1.9389999999999998</v>
      </c>
      <c r="J17">
        <f t="shared" ref="J17" si="12">(J11*K12)-(J12*K11)</f>
        <v>3.7749999999999999</v>
      </c>
      <c r="K17">
        <f t="shared" ref="K17" si="13">(K11*L12)-(K12*L11)</f>
        <v>2.9540000000000002</v>
      </c>
      <c r="L17">
        <f t="shared" ref="L17" si="14">(L11*M12)-(L12*M11)</f>
        <v>4.532</v>
      </c>
      <c r="M17">
        <f t="shared" ref="M17" si="15">(M11*N12)-(M12*N11)</f>
        <v>2.2399999999999998</v>
      </c>
      <c r="N17">
        <f>(N11*I12)-(N12*I11)</f>
        <v>0</v>
      </c>
      <c r="O17">
        <f t="shared" si="11"/>
        <v>1.9019999999999999</v>
      </c>
      <c r="P17">
        <f t="shared" si="11"/>
        <v>5.3000000000000007</v>
      </c>
      <c r="Q17">
        <f t="shared" si="11"/>
        <v>4</v>
      </c>
      <c r="R17">
        <f t="shared" si="11"/>
        <v>5.7</v>
      </c>
      <c r="S17">
        <f t="shared" si="11"/>
        <v>1.65</v>
      </c>
      <c r="T17">
        <f>(T11*O12)-(T12*O11)</f>
        <v>0</v>
      </c>
      <c r="U17">
        <f t="shared" si="11"/>
        <v>1.9019999999999999</v>
      </c>
      <c r="V17">
        <f t="shared" si="11"/>
        <v>5.0050000000000008</v>
      </c>
      <c r="W17">
        <f t="shared" si="11"/>
        <v>3.8</v>
      </c>
      <c r="X17">
        <f t="shared" si="11"/>
        <v>5.38</v>
      </c>
      <c r="Y17">
        <f t="shared" si="11"/>
        <v>2.38</v>
      </c>
      <c r="Z17">
        <f>(Z11*U12)-(Z12*U11)</f>
        <v>0</v>
      </c>
      <c r="AA17">
        <f t="shared" si="11"/>
        <v>3.6</v>
      </c>
      <c r="AB17">
        <f t="shared" si="11"/>
        <v>5.9</v>
      </c>
      <c r="AC17">
        <f t="shared" si="11"/>
        <v>4.4000000000000004</v>
      </c>
      <c r="AD17">
        <f t="shared" si="11"/>
        <v>5.5600000000000005</v>
      </c>
      <c r="AE17">
        <f t="shared" si="11"/>
        <v>4.4400000000000004</v>
      </c>
      <c r="AF17">
        <f>(AF11*AA12)-(AF12*AA11)</f>
        <v>0</v>
      </c>
      <c r="AG17">
        <f>ABS(SUM(C17:H17))/2</f>
        <v>7.72</v>
      </c>
      <c r="AH17">
        <f>ABS(SUM(O17:T17))/2</f>
        <v>9.2759999999999998</v>
      </c>
      <c r="AI17">
        <f>ABS(SUM(U17:Z17))/2</f>
        <v>9.2334999999999994</v>
      </c>
      <c r="AJ17" s="63">
        <f>ABS(SUM(AA17:AF17))/2</f>
        <v>11.950000000000001</v>
      </c>
    </row>
    <row r="18" spans="1:36" x14ac:dyDescent="0.25">
      <c r="A18" s="47"/>
      <c r="B18" s="63"/>
    </row>
    <row r="19" spans="1:36" x14ac:dyDescent="0.25">
      <c r="A19" s="47"/>
      <c r="B19" s="63"/>
    </row>
    <row r="20" spans="1:36" x14ac:dyDescent="0.25">
      <c r="A20" s="85"/>
      <c r="B20" s="47"/>
      <c r="C20" s="47">
        <f>D3</f>
        <v>41453</v>
      </c>
      <c r="D20" s="102">
        <v>41478</v>
      </c>
      <c r="E20" s="47">
        <f>Q3</f>
        <v>41491</v>
      </c>
      <c r="F20" s="47">
        <f>W3</f>
        <v>41499</v>
      </c>
      <c r="G20" s="47">
        <f>AC3</f>
        <v>41516</v>
      </c>
    </row>
    <row r="21" spans="1:36" x14ac:dyDescent="0.25">
      <c r="A21" t="s">
        <v>9</v>
      </c>
      <c r="B21" t="s">
        <v>10</v>
      </c>
      <c r="C21">
        <f>H8-C8</f>
        <v>3.1500000000000004</v>
      </c>
      <c r="D21">
        <f>N8-I8</f>
        <v>3.1500000000000004</v>
      </c>
      <c r="E21">
        <f>T8-O8</f>
        <v>3.45</v>
      </c>
      <c r="F21">
        <f>Z8-U8</f>
        <v>4.05</v>
      </c>
      <c r="G21">
        <f>AF8-AA8</f>
        <v>5.0999999999999996</v>
      </c>
    </row>
    <row r="22" spans="1:36" x14ac:dyDescent="0.25">
      <c r="B22" t="s">
        <v>11</v>
      </c>
      <c r="C22">
        <f>F9</f>
        <v>-1.7</v>
      </c>
      <c r="D22">
        <f>K9</f>
        <v>-1.7</v>
      </c>
      <c r="E22">
        <f>R9</f>
        <v>-2</v>
      </c>
      <c r="F22">
        <f>X9</f>
        <v>-2.5</v>
      </c>
      <c r="G22">
        <f>AC9</f>
        <v>-2.5</v>
      </c>
    </row>
    <row r="23" spans="1:36" x14ac:dyDescent="0.25">
      <c r="B23" t="s">
        <v>12</v>
      </c>
      <c r="C23">
        <f>AA10</f>
        <v>1.9</v>
      </c>
      <c r="D23">
        <f>AA10</f>
        <v>1.9</v>
      </c>
      <c r="E23">
        <f>AA10</f>
        <v>1.9</v>
      </c>
      <c r="F23">
        <f>AA10+U7</f>
        <v>2.9</v>
      </c>
      <c r="G23">
        <f>AA10+AA7</f>
        <v>4.0999999999999996</v>
      </c>
    </row>
  </sheetData>
  <mergeCells count="5">
    <mergeCell ref="AH2:AK2"/>
    <mergeCell ref="AL2:AO2"/>
    <mergeCell ref="A5:A7"/>
    <mergeCell ref="A8:A10"/>
    <mergeCell ref="A11:A13"/>
  </mergeCells>
  <pageMargins left="0.7" right="0.7" top="0.75" bottom="0.75" header="0.3" footer="0.3"/>
  <pageSetup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opLeftCell="A7" workbookViewId="0">
      <selection activeCell="N16" sqref="N16"/>
    </sheetView>
  </sheetViews>
  <sheetFormatPr defaultRowHeight="15" x14ac:dyDescent="0.25"/>
  <cols>
    <col min="1" max="1" width="10.7109375" bestFit="1" customWidth="1"/>
  </cols>
  <sheetData>
    <row r="1" spans="1:18" ht="18.75" x14ac:dyDescent="0.35">
      <c r="B1" s="224" t="s">
        <v>116</v>
      </c>
      <c r="C1" s="224"/>
      <c r="D1" s="224"/>
      <c r="E1" s="224"/>
      <c r="F1" s="224" t="s">
        <v>117</v>
      </c>
      <c r="G1" s="224"/>
      <c r="H1" s="224"/>
      <c r="I1" s="224"/>
      <c r="J1" t="s">
        <v>131</v>
      </c>
      <c r="K1" t="s">
        <v>129</v>
      </c>
      <c r="L1">
        <v>9.81</v>
      </c>
      <c r="M1" t="s">
        <v>130</v>
      </c>
    </row>
    <row r="2" spans="1:18" x14ac:dyDescent="0.25">
      <c r="A2" t="s">
        <v>105</v>
      </c>
      <c r="B2" t="s">
        <v>106</v>
      </c>
      <c r="C2" t="s">
        <v>107</v>
      </c>
      <c r="D2" t="s">
        <v>108</v>
      </c>
      <c r="E2" t="s">
        <v>109</v>
      </c>
      <c r="J2" t="s">
        <v>97</v>
      </c>
      <c r="K2" t="s">
        <v>95</v>
      </c>
      <c r="R2" t="s">
        <v>118</v>
      </c>
    </row>
    <row r="3" spans="1:18" x14ac:dyDescent="0.25">
      <c r="A3">
        <v>1</v>
      </c>
      <c r="B3">
        <v>0</v>
      </c>
      <c r="C3">
        <v>0</v>
      </c>
      <c r="D3">
        <v>0</v>
      </c>
      <c r="E3">
        <v>0</v>
      </c>
      <c r="J3" s="159">
        <v>-1.3949999999999998</v>
      </c>
      <c r="K3">
        <v>-0.38999999999999968</v>
      </c>
      <c r="Q3" t="s">
        <v>119</v>
      </c>
    </row>
    <row r="4" spans="1:18" x14ac:dyDescent="0.25">
      <c r="A4">
        <f>A3+1</f>
        <v>2</v>
      </c>
      <c r="B4">
        <v>-8</v>
      </c>
      <c r="C4">
        <v>-4</v>
      </c>
      <c r="D4">
        <v>-2</v>
      </c>
      <c r="E4">
        <v>0</v>
      </c>
      <c r="J4" s="63">
        <v>-1.7799999999999998</v>
      </c>
      <c r="K4">
        <v>-0.4099999999999997</v>
      </c>
    </row>
    <row r="5" spans="1:18" x14ac:dyDescent="0.25">
      <c r="A5">
        <f t="shared" ref="A5:A28" si="0">A4+1</f>
        <v>3</v>
      </c>
      <c r="B5">
        <v>-10</v>
      </c>
      <c r="C5">
        <v>-4</v>
      </c>
      <c r="D5">
        <v>-2</v>
      </c>
      <c r="E5">
        <v>0</v>
      </c>
      <c r="J5" s="63">
        <v>-1.605</v>
      </c>
      <c r="K5">
        <v>-0.37999999999999989</v>
      </c>
    </row>
    <row r="6" spans="1:18" x14ac:dyDescent="0.25">
      <c r="A6">
        <f t="shared" si="0"/>
        <v>4</v>
      </c>
      <c r="B6">
        <v>-10</v>
      </c>
      <c r="C6">
        <v>-6</v>
      </c>
      <c r="D6">
        <v>-2</v>
      </c>
      <c r="E6">
        <v>0</v>
      </c>
      <c r="J6" s="63">
        <v>-1.7349999999999999</v>
      </c>
      <c r="K6">
        <v>-0.27499999999999991</v>
      </c>
    </row>
    <row r="7" spans="1:18" x14ac:dyDescent="0.25">
      <c r="A7">
        <f t="shared" si="0"/>
        <v>5</v>
      </c>
      <c r="B7">
        <v>-10</v>
      </c>
      <c r="C7">
        <v>-6</v>
      </c>
      <c r="D7">
        <v>-2</v>
      </c>
      <c r="E7">
        <v>0</v>
      </c>
      <c r="J7" s="63">
        <v>-1.67</v>
      </c>
      <c r="K7">
        <v>-0.25999999999999979</v>
      </c>
      <c r="Q7" t="s">
        <v>120</v>
      </c>
    </row>
    <row r="8" spans="1:18" x14ac:dyDescent="0.25">
      <c r="A8">
        <f t="shared" si="0"/>
        <v>6</v>
      </c>
      <c r="B8">
        <v>-10</v>
      </c>
      <c r="C8">
        <v>-6</v>
      </c>
      <c r="D8">
        <v>-2</v>
      </c>
      <c r="E8">
        <v>0</v>
      </c>
      <c r="J8" s="63">
        <v>-1.3449999999999998</v>
      </c>
      <c r="K8">
        <v>-0.24000000000000021</v>
      </c>
      <c r="Q8" t="s">
        <v>121</v>
      </c>
    </row>
    <row r="9" spans="1:18" x14ac:dyDescent="0.25">
      <c r="A9">
        <f t="shared" si="0"/>
        <v>7</v>
      </c>
      <c r="B9">
        <v>-10</v>
      </c>
      <c r="C9">
        <v>-8</v>
      </c>
      <c r="D9">
        <v>-2</v>
      </c>
      <c r="E9">
        <v>0</v>
      </c>
      <c r="J9" s="63">
        <v>-1.7799999999999998</v>
      </c>
      <c r="K9">
        <v>-0.29000000000000004</v>
      </c>
      <c r="Q9" t="s">
        <v>122</v>
      </c>
    </row>
    <row r="10" spans="1:18" x14ac:dyDescent="0.25">
      <c r="A10">
        <f t="shared" si="0"/>
        <v>8</v>
      </c>
      <c r="B10">
        <v>-10</v>
      </c>
      <c r="C10">
        <v>-8</v>
      </c>
      <c r="D10">
        <v>-4</v>
      </c>
      <c r="E10">
        <v>0</v>
      </c>
      <c r="J10" s="63">
        <v>-1.5549999999999997</v>
      </c>
      <c r="K10">
        <v>-0.32999999999999963</v>
      </c>
      <c r="Q10" t="s">
        <v>123</v>
      </c>
    </row>
    <row r="11" spans="1:18" x14ac:dyDescent="0.25">
      <c r="A11">
        <f t="shared" si="0"/>
        <v>9</v>
      </c>
      <c r="B11">
        <v>-10</v>
      </c>
      <c r="C11">
        <v>-8</v>
      </c>
      <c r="D11">
        <v>-6</v>
      </c>
      <c r="E11">
        <v>0</v>
      </c>
      <c r="J11" s="63">
        <v>-1.7849999999999997</v>
      </c>
      <c r="K11">
        <v>-0.34999999999999964</v>
      </c>
      <c r="Q11" t="s">
        <v>124</v>
      </c>
    </row>
    <row r="12" spans="1:18" x14ac:dyDescent="0.25">
      <c r="A12">
        <f t="shared" si="0"/>
        <v>10</v>
      </c>
      <c r="B12">
        <v>-10</v>
      </c>
      <c r="C12">
        <v>-8</v>
      </c>
      <c r="D12">
        <v>-6</v>
      </c>
      <c r="E12">
        <v>0</v>
      </c>
      <c r="J12" s="63">
        <v>-2.29</v>
      </c>
      <c r="K12">
        <v>-0.29999999999999982</v>
      </c>
      <c r="Q12" t="s">
        <v>125</v>
      </c>
    </row>
    <row r="13" spans="1:18" x14ac:dyDescent="0.25">
      <c r="A13">
        <f t="shared" si="0"/>
        <v>11</v>
      </c>
      <c r="B13">
        <v>-10</v>
      </c>
      <c r="C13">
        <v>-8</v>
      </c>
      <c r="D13">
        <v>-6</v>
      </c>
      <c r="E13">
        <v>0</v>
      </c>
      <c r="J13" s="63">
        <v>-1.7399999999999998</v>
      </c>
      <c r="K13">
        <v>-0.39499999999999957</v>
      </c>
      <c r="Q13" t="s">
        <v>126</v>
      </c>
    </row>
    <row r="14" spans="1:18" x14ac:dyDescent="0.25">
      <c r="A14">
        <f t="shared" si="0"/>
        <v>12</v>
      </c>
      <c r="B14">
        <v>-10</v>
      </c>
      <c r="C14">
        <v>-8</v>
      </c>
      <c r="D14">
        <v>-6</v>
      </c>
      <c r="E14">
        <v>0</v>
      </c>
      <c r="J14" s="63">
        <v>-2.2299999999999995</v>
      </c>
      <c r="K14">
        <v>-0.37000000000000011</v>
      </c>
      <c r="Q14" t="s">
        <v>120</v>
      </c>
    </row>
    <row r="15" spans="1:18" x14ac:dyDescent="0.25">
      <c r="A15">
        <f t="shared" si="0"/>
        <v>13</v>
      </c>
      <c r="B15">
        <v>-10</v>
      </c>
      <c r="C15">
        <v>-8</v>
      </c>
      <c r="D15">
        <v>-6</v>
      </c>
      <c r="E15">
        <v>0</v>
      </c>
      <c r="J15" s="63">
        <v>-1.9299999999999997</v>
      </c>
      <c r="K15">
        <v>-0.34999999999999964</v>
      </c>
      <c r="Q15" t="s">
        <v>127</v>
      </c>
    </row>
    <row r="16" spans="1:18" x14ac:dyDescent="0.25">
      <c r="A16">
        <f t="shared" si="0"/>
        <v>14</v>
      </c>
      <c r="B16">
        <v>-10</v>
      </c>
      <c r="C16">
        <v>-8</v>
      </c>
      <c r="D16">
        <v>-6</v>
      </c>
      <c r="E16">
        <v>0</v>
      </c>
      <c r="J16" s="63">
        <v>-2.09</v>
      </c>
      <c r="K16">
        <v>-0.33999999999999986</v>
      </c>
      <c r="Q16" t="s">
        <v>128</v>
      </c>
    </row>
    <row r="17" spans="1:11" x14ac:dyDescent="0.25">
      <c r="A17">
        <f t="shared" si="0"/>
        <v>15</v>
      </c>
      <c r="B17">
        <v>-10</v>
      </c>
      <c r="C17">
        <v>-8</v>
      </c>
      <c r="D17">
        <v>-6</v>
      </c>
      <c r="E17">
        <v>0</v>
      </c>
      <c r="J17" s="63">
        <v>-2.0649999999999999</v>
      </c>
      <c r="K17">
        <v>-0.35999999999999988</v>
      </c>
    </row>
    <row r="18" spans="1:11" x14ac:dyDescent="0.25">
      <c r="A18">
        <f t="shared" si="0"/>
        <v>16</v>
      </c>
      <c r="B18">
        <v>-10</v>
      </c>
      <c r="C18">
        <v>-8</v>
      </c>
      <c r="D18">
        <v>-6</v>
      </c>
      <c r="E18">
        <v>0</v>
      </c>
      <c r="J18" s="63">
        <v>-2.0499999999999998</v>
      </c>
      <c r="K18">
        <v>-0.42999999999999972</v>
      </c>
    </row>
    <row r="19" spans="1:11" x14ac:dyDescent="0.25">
      <c r="A19">
        <f t="shared" si="0"/>
        <v>17</v>
      </c>
      <c r="B19">
        <v>-10</v>
      </c>
      <c r="C19">
        <v>-6</v>
      </c>
      <c r="D19">
        <v>-6</v>
      </c>
      <c r="E19">
        <v>0</v>
      </c>
      <c r="J19" s="63">
        <v>-2.0499999999999998</v>
      </c>
      <c r="K19">
        <v>-0.38999999999999968</v>
      </c>
    </row>
    <row r="20" spans="1:11" x14ac:dyDescent="0.25">
      <c r="A20">
        <f t="shared" si="0"/>
        <v>18</v>
      </c>
      <c r="B20">
        <v>-10</v>
      </c>
      <c r="C20">
        <v>-6</v>
      </c>
      <c r="D20">
        <v>-4</v>
      </c>
      <c r="E20">
        <v>0</v>
      </c>
      <c r="J20" s="63">
        <v>-2.0499999999999998</v>
      </c>
      <c r="K20">
        <v>-0.42499999999999982</v>
      </c>
    </row>
    <row r="21" spans="1:11" x14ac:dyDescent="0.25">
      <c r="A21">
        <f t="shared" si="0"/>
        <v>19</v>
      </c>
      <c r="B21">
        <v>-10</v>
      </c>
      <c r="C21">
        <v>-6</v>
      </c>
      <c r="D21">
        <v>-4</v>
      </c>
      <c r="E21">
        <v>0</v>
      </c>
      <c r="J21" s="63">
        <v>-2.0499999999999998</v>
      </c>
      <c r="K21">
        <v>-0.48499999999999988</v>
      </c>
    </row>
    <row r="22" spans="1:11" x14ac:dyDescent="0.25">
      <c r="A22">
        <f t="shared" si="0"/>
        <v>20</v>
      </c>
      <c r="B22">
        <v>-10</v>
      </c>
      <c r="C22">
        <v>-6</v>
      </c>
      <c r="D22">
        <v>-4</v>
      </c>
      <c r="E22">
        <v>0</v>
      </c>
      <c r="J22" s="63">
        <v>-2.0499999999999998</v>
      </c>
      <c r="K22">
        <v>-0.37999999999999989</v>
      </c>
    </row>
    <row r="23" spans="1:11" x14ac:dyDescent="0.25">
      <c r="A23">
        <f t="shared" si="0"/>
        <v>21</v>
      </c>
      <c r="B23">
        <v>-10</v>
      </c>
      <c r="C23">
        <v>-6</v>
      </c>
      <c r="D23">
        <v>-4</v>
      </c>
      <c r="E23">
        <v>0</v>
      </c>
      <c r="J23" s="63">
        <v>-2.0499999999999998</v>
      </c>
      <c r="K23">
        <v>-0.45999999999999996</v>
      </c>
    </row>
    <row r="24" spans="1:11" x14ac:dyDescent="0.25">
      <c r="A24">
        <f t="shared" si="0"/>
        <v>22</v>
      </c>
      <c r="B24">
        <v>-10</v>
      </c>
      <c r="C24">
        <v>-6</v>
      </c>
      <c r="D24">
        <v>-4</v>
      </c>
      <c r="E24">
        <v>0</v>
      </c>
      <c r="J24" s="63">
        <v>-2.2050000000000001</v>
      </c>
      <c r="K24">
        <v>-0.48</v>
      </c>
    </row>
    <row r="25" spans="1:11" x14ac:dyDescent="0.25">
      <c r="A25">
        <f t="shared" si="0"/>
        <v>23</v>
      </c>
      <c r="B25">
        <v>-10</v>
      </c>
      <c r="C25">
        <v>-6</v>
      </c>
      <c r="D25">
        <v>-4</v>
      </c>
      <c r="E25">
        <v>0</v>
      </c>
      <c r="J25" s="63">
        <v>-2.19</v>
      </c>
      <c r="K25">
        <v>-0.5</v>
      </c>
    </row>
    <row r="26" spans="1:11" x14ac:dyDescent="0.25">
      <c r="A26">
        <f t="shared" si="0"/>
        <v>24</v>
      </c>
      <c r="B26">
        <v>-10</v>
      </c>
      <c r="C26">
        <v>-6</v>
      </c>
      <c r="D26">
        <v>-4</v>
      </c>
      <c r="E26">
        <v>0</v>
      </c>
      <c r="J26" s="63">
        <v>-2.1149999999999998</v>
      </c>
      <c r="K26">
        <v>-0.50499999999999989</v>
      </c>
    </row>
    <row r="27" spans="1:11" x14ac:dyDescent="0.25">
      <c r="A27">
        <f t="shared" si="0"/>
        <v>25</v>
      </c>
      <c r="B27">
        <v>-10</v>
      </c>
      <c r="C27">
        <v>-4</v>
      </c>
      <c r="D27">
        <v>-4</v>
      </c>
      <c r="E27">
        <v>0</v>
      </c>
      <c r="J27" s="63">
        <v>-2.2999999999999998</v>
      </c>
      <c r="K27">
        <v>-0.49000000000000021</v>
      </c>
    </row>
    <row r="28" spans="1:11" x14ac:dyDescent="0.25">
      <c r="A28">
        <f t="shared" si="0"/>
        <v>26</v>
      </c>
      <c r="B28">
        <v>-10</v>
      </c>
      <c r="C28">
        <v>-6</v>
      </c>
      <c r="D28">
        <v>-4</v>
      </c>
      <c r="E28">
        <v>0</v>
      </c>
      <c r="J28" s="63">
        <v>-2.3049999999999997</v>
      </c>
      <c r="K28">
        <v>-0.46999999999999975</v>
      </c>
    </row>
    <row r="29" spans="1:11" x14ac:dyDescent="0.25">
      <c r="J29" s="63">
        <v>-2.3099999999999996</v>
      </c>
      <c r="K29">
        <v>-0.46499999999999986</v>
      </c>
    </row>
    <row r="30" spans="1:11" x14ac:dyDescent="0.25">
      <c r="J30" s="63">
        <v>-2.34</v>
      </c>
      <c r="K30">
        <v>-0.49000000000000021</v>
      </c>
    </row>
    <row r="31" spans="1:11" x14ac:dyDescent="0.25">
      <c r="J31" s="63">
        <v>-2.34</v>
      </c>
      <c r="K31">
        <v>-0.5299999999999998</v>
      </c>
    </row>
    <row r="32" spans="1:11" x14ac:dyDescent="0.25">
      <c r="J32" s="63">
        <v>-2.4</v>
      </c>
      <c r="K32">
        <v>-0.53500000000000014</v>
      </c>
    </row>
    <row r="33" spans="10:11" x14ac:dyDescent="0.25">
      <c r="J33" s="63">
        <v>-2.3899999999999997</v>
      </c>
      <c r="K33">
        <v>-0.50999999999999979</v>
      </c>
    </row>
    <row r="34" spans="10:11" x14ac:dyDescent="0.25">
      <c r="K34">
        <v>-0.54999999999999982</v>
      </c>
    </row>
    <row r="35" spans="10:11" x14ac:dyDescent="0.25">
      <c r="K35">
        <v>-0.22499999999999964</v>
      </c>
    </row>
    <row r="36" spans="10:11" x14ac:dyDescent="0.25">
      <c r="K36">
        <v>-0.51499999999999968</v>
      </c>
    </row>
    <row r="37" spans="10:11" x14ac:dyDescent="0.25">
      <c r="K37">
        <v>-0.49500000000000011</v>
      </c>
    </row>
    <row r="38" spans="10:11" x14ac:dyDescent="0.25">
      <c r="K38">
        <v>-0.51499999999999968</v>
      </c>
    </row>
    <row r="39" spans="10:11" x14ac:dyDescent="0.25">
      <c r="K39">
        <v>-0.55999999999999961</v>
      </c>
    </row>
    <row r="40" spans="10:11" x14ac:dyDescent="0.25">
      <c r="K40">
        <v>-0.5</v>
      </c>
    </row>
    <row r="41" spans="10:11" x14ac:dyDescent="0.25">
      <c r="K41">
        <v>-0.54999999999999982</v>
      </c>
    </row>
    <row r="42" spans="10:11" x14ac:dyDescent="0.25">
      <c r="K42">
        <v>-0.54999999999999982</v>
      </c>
    </row>
    <row r="43" spans="10:11" x14ac:dyDescent="0.25">
      <c r="K43">
        <v>-0.5649999999999995</v>
      </c>
    </row>
    <row r="44" spans="10:11" x14ac:dyDescent="0.25">
      <c r="K44">
        <v>-0.59499999999999975</v>
      </c>
    </row>
    <row r="45" spans="10:11" x14ac:dyDescent="0.25">
      <c r="K45">
        <v>-0.62999999999999989</v>
      </c>
    </row>
    <row r="46" spans="10:11" x14ac:dyDescent="0.25">
      <c r="K46">
        <v>-0.6549999999999998</v>
      </c>
    </row>
    <row r="47" spans="10:11" x14ac:dyDescent="0.25">
      <c r="K47">
        <v>-0.69999999999999973</v>
      </c>
    </row>
    <row r="48" spans="10:11" x14ac:dyDescent="0.25">
      <c r="K48">
        <v>-0.59999999999999964</v>
      </c>
    </row>
    <row r="49" spans="11:11" x14ac:dyDescent="0.25">
      <c r="K49">
        <v>-0.80999999999999983</v>
      </c>
    </row>
    <row r="50" spans="11:11" x14ac:dyDescent="0.25">
      <c r="K50">
        <v>-0.85499999999999998</v>
      </c>
    </row>
    <row r="51" spans="11:11" x14ac:dyDescent="0.25">
      <c r="K51">
        <v>-0.90999999999999992</v>
      </c>
    </row>
  </sheetData>
  <mergeCells count="2">
    <mergeCell ref="B1:E1"/>
    <mergeCell ref="F1:I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6"/>
  <sheetViews>
    <sheetView topLeftCell="Y2" zoomScale="75" zoomScaleNormal="75" workbookViewId="0">
      <selection activeCell="AR6" sqref="AR6:AT11"/>
    </sheetView>
  </sheetViews>
  <sheetFormatPr defaultRowHeight="15" x14ac:dyDescent="0.25"/>
  <cols>
    <col min="3" max="4" width="10.85546875" bestFit="1" customWidth="1"/>
    <col min="5" max="5" width="9.7109375" bestFit="1" customWidth="1"/>
    <col min="6" max="7" width="10.85546875" bestFit="1" customWidth="1"/>
    <col min="11" max="11" width="10.85546875" bestFit="1" customWidth="1"/>
    <col min="17" max="17" width="9.7109375" bestFit="1" customWidth="1"/>
    <col min="23" max="23" width="9.7109375" bestFit="1" customWidth="1"/>
    <col min="41" max="41" width="10.85546875" bestFit="1" customWidth="1"/>
  </cols>
  <sheetData>
    <row r="1" spans="1:56" x14ac:dyDescent="0.25"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102">
        <v>41478</v>
      </c>
      <c r="AJ1" s="47">
        <v>41491</v>
      </c>
      <c r="AK1" s="47">
        <v>41495</v>
      </c>
      <c r="AL1" s="47">
        <v>41517</v>
      </c>
    </row>
    <row r="2" spans="1:56" ht="15.75" thickBot="1" x14ac:dyDescent="0.3"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205"/>
      <c r="AS2" s="205"/>
      <c r="AT2" s="205"/>
      <c r="AU2" s="205"/>
      <c r="AV2" s="205"/>
      <c r="AW2" s="205"/>
      <c r="AX2" s="205"/>
      <c r="AY2" s="3"/>
      <c r="AZ2" s="3"/>
      <c r="BA2" s="3"/>
      <c r="BB2" s="3"/>
      <c r="BC2" s="3"/>
      <c r="BD2" s="3"/>
    </row>
    <row r="3" spans="1:56" x14ac:dyDescent="0.25">
      <c r="F3" s="47">
        <v>41453</v>
      </c>
      <c r="I3" s="1"/>
      <c r="J3" s="2"/>
      <c r="K3" s="102">
        <v>41478</v>
      </c>
      <c r="L3" s="2"/>
      <c r="M3" s="2"/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4">
        <v>41478</v>
      </c>
      <c r="AJ3" s="105">
        <v>41491</v>
      </c>
      <c r="AK3" s="105">
        <v>41495</v>
      </c>
      <c r="AL3" s="106">
        <v>41516</v>
      </c>
      <c r="AM3" s="103">
        <v>41453</v>
      </c>
      <c r="AN3" s="104">
        <v>41478</v>
      </c>
      <c r="AO3" s="105">
        <v>41491</v>
      </c>
      <c r="AP3" s="105">
        <v>41495</v>
      </c>
      <c r="AQ3" s="106" t="s">
        <v>2</v>
      </c>
      <c r="AR3" s="171"/>
      <c r="AS3" s="171"/>
      <c r="AT3" s="171"/>
      <c r="AU3" s="171"/>
      <c r="AV3" s="171"/>
      <c r="AW3" s="171"/>
      <c r="AX3" s="171"/>
      <c r="AY3" s="1"/>
      <c r="AZ3" t="s">
        <v>50</v>
      </c>
      <c r="BA3" t="s">
        <v>42</v>
      </c>
      <c r="BB3" t="s">
        <v>54</v>
      </c>
      <c r="BC3" t="s">
        <v>55</v>
      </c>
      <c r="BD3" t="s">
        <v>59</v>
      </c>
    </row>
    <row r="4" spans="1:56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2" t="s">
        <v>35</v>
      </c>
      <c r="AM4" s="70" t="s">
        <v>37</v>
      </c>
      <c r="AN4" s="71" t="s">
        <v>38</v>
      </c>
      <c r="AO4" s="71" t="s">
        <v>39</v>
      </c>
      <c r="AP4" s="71" t="s">
        <v>40</v>
      </c>
      <c r="AQ4" s="72" t="s">
        <v>41</v>
      </c>
      <c r="AR4" s="71"/>
      <c r="AS4" s="71" t="s">
        <v>10</v>
      </c>
      <c r="AT4" s="71" t="s">
        <v>12</v>
      </c>
      <c r="AU4" s="71"/>
      <c r="AV4" s="71"/>
      <c r="AW4" s="71"/>
      <c r="AX4" s="71"/>
      <c r="AY4" t="s">
        <v>9</v>
      </c>
      <c r="AZ4">
        <v>0</v>
      </c>
      <c r="BB4">
        <v>-5.0999999999999996</v>
      </c>
      <c r="BC4">
        <v>11.5</v>
      </c>
    </row>
    <row r="5" spans="1:56" x14ac:dyDescent="0.25">
      <c r="A5" s="219" t="s">
        <v>18</v>
      </c>
      <c r="B5" s="5" t="s">
        <v>10</v>
      </c>
      <c r="C5" s="121"/>
      <c r="D5" s="122"/>
      <c r="E5" s="122"/>
      <c r="F5" s="122"/>
      <c r="G5" s="122"/>
      <c r="H5" s="123"/>
      <c r="I5" s="121"/>
      <c r="J5" s="122"/>
      <c r="K5" s="122"/>
      <c r="L5" s="122"/>
      <c r="M5" s="122"/>
      <c r="N5" s="123"/>
      <c r="O5" s="121"/>
      <c r="P5" s="122"/>
      <c r="Q5" s="122"/>
      <c r="R5" s="122"/>
      <c r="S5" s="122"/>
      <c r="T5" s="123"/>
      <c r="U5" s="121"/>
      <c r="V5" s="122"/>
      <c r="W5" s="122"/>
      <c r="X5" s="122"/>
      <c r="Y5" s="122"/>
      <c r="Z5" s="123"/>
      <c r="AA5" s="10"/>
      <c r="AB5" s="10"/>
      <c r="AC5" s="10"/>
      <c r="AD5" s="10"/>
      <c r="AE5" s="10"/>
      <c r="AF5" s="11"/>
      <c r="AG5" s="16"/>
      <c r="AH5" s="145"/>
      <c r="AI5" s="155"/>
      <c r="AJ5" s="155"/>
      <c r="AK5" s="155"/>
      <c r="AL5" s="150"/>
      <c r="AM5" s="148"/>
      <c r="AN5" s="149"/>
      <c r="AO5" s="149"/>
      <c r="AP5" s="149"/>
      <c r="AQ5" s="156"/>
      <c r="AR5" s="149"/>
      <c r="AS5" s="149"/>
      <c r="AT5" s="149"/>
      <c r="AU5" s="149"/>
      <c r="AV5" s="149"/>
      <c r="AW5" s="149"/>
      <c r="AX5" s="149"/>
      <c r="AY5" t="s">
        <v>13</v>
      </c>
      <c r="AZ5">
        <v>2.4</v>
      </c>
      <c r="BA5" s="100">
        <v>99.397579792000016</v>
      </c>
      <c r="BB5">
        <v>-5.0999999999999996</v>
      </c>
      <c r="BC5">
        <v>11.6</v>
      </c>
    </row>
    <row r="6" spans="1:56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4"/>
      <c r="J6" s="125"/>
      <c r="K6" s="125"/>
      <c r="L6" s="125"/>
      <c r="M6" s="125"/>
      <c r="N6" s="126"/>
      <c r="O6" s="124"/>
      <c r="P6" s="125"/>
      <c r="Q6" s="125"/>
      <c r="R6" s="125"/>
      <c r="S6" s="125"/>
      <c r="T6" s="126"/>
      <c r="U6" s="124"/>
      <c r="V6" s="125"/>
      <c r="W6" s="125"/>
      <c r="X6" s="125"/>
      <c r="Y6" s="125"/>
      <c r="Z6" s="126"/>
      <c r="AA6" s="16"/>
      <c r="AB6" s="16"/>
      <c r="AC6" s="16"/>
      <c r="AD6" s="16"/>
      <c r="AE6" s="16"/>
      <c r="AF6" s="17"/>
      <c r="AG6" s="16" t="s">
        <v>17</v>
      </c>
      <c r="AH6" s="157">
        <f t="shared" ref="AH6:AL11" si="0">AG26</f>
        <v>0</v>
      </c>
      <c r="AI6" s="155">
        <f t="shared" si="0"/>
        <v>0</v>
      </c>
      <c r="AJ6" s="155">
        <f t="shared" si="0"/>
        <v>0</v>
      </c>
      <c r="AK6" s="155">
        <f t="shared" si="0"/>
        <v>0</v>
      </c>
      <c r="AL6" s="155">
        <f t="shared" si="0"/>
        <v>0.95499999999999985</v>
      </c>
      <c r="AM6" s="145"/>
      <c r="AN6" s="144"/>
      <c r="AO6" s="144"/>
      <c r="AP6" s="144"/>
      <c r="AQ6" s="146"/>
      <c r="AR6" s="16" t="s">
        <v>17</v>
      </c>
      <c r="AS6" s="144">
        <f>AF8-AA8</f>
        <v>1.2</v>
      </c>
      <c r="AT6" s="212">
        <f>AA10</f>
        <v>15</v>
      </c>
      <c r="AU6" s="144"/>
      <c r="AV6" s="144"/>
      <c r="AW6" s="144"/>
      <c r="AX6" s="144"/>
      <c r="AY6" t="s">
        <v>14</v>
      </c>
      <c r="AZ6">
        <v>4.9000000000000004</v>
      </c>
      <c r="BA6" s="100">
        <v>97.639239366666658</v>
      </c>
      <c r="BB6">
        <v>-4.7</v>
      </c>
      <c r="BC6">
        <v>9</v>
      </c>
      <c r="BD6">
        <v>-2.0099999999999998</v>
      </c>
    </row>
    <row r="7" spans="1:56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7"/>
      <c r="J7" s="118"/>
      <c r="K7" s="118"/>
      <c r="L7" s="118"/>
      <c r="M7" s="118"/>
      <c r="N7" s="119"/>
      <c r="O7" s="117"/>
      <c r="P7" s="118"/>
      <c r="Q7" s="118"/>
      <c r="R7" s="118"/>
      <c r="S7" s="118"/>
      <c r="T7" s="119"/>
      <c r="U7" s="117"/>
      <c r="V7" s="118"/>
      <c r="W7" s="118"/>
      <c r="X7" s="118"/>
      <c r="Y7" s="118"/>
      <c r="Z7" s="119"/>
      <c r="AA7" s="25"/>
      <c r="AB7" s="25"/>
      <c r="AC7" s="25"/>
      <c r="AD7" s="25"/>
      <c r="AE7" s="25"/>
      <c r="AF7" s="26"/>
      <c r="AG7" s="16" t="s">
        <v>16</v>
      </c>
      <c r="AH7" s="157">
        <f t="shared" si="0"/>
        <v>0</v>
      </c>
      <c r="AI7" s="155">
        <f t="shared" si="0"/>
        <v>0</v>
      </c>
      <c r="AJ7" s="155">
        <f t="shared" si="0"/>
        <v>0</v>
      </c>
      <c r="AK7" s="155">
        <f t="shared" si="0"/>
        <v>1.26</v>
      </c>
      <c r="AL7" s="155">
        <f t="shared" si="0"/>
        <v>1.62</v>
      </c>
      <c r="AM7" s="145"/>
      <c r="AN7" s="144"/>
      <c r="AO7" s="144"/>
      <c r="AP7" s="144"/>
      <c r="AQ7" s="83">
        <f>(AL6+AL7)/2*$AA$10</f>
        <v>19.3125</v>
      </c>
      <c r="AR7" s="16" t="s">
        <v>16</v>
      </c>
      <c r="AS7" s="82">
        <f>AF11-AA11</f>
        <v>1.8</v>
      </c>
      <c r="AT7" s="213">
        <f>AA13</f>
        <v>10</v>
      </c>
      <c r="AU7" s="82"/>
      <c r="AV7" s="82"/>
      <c r="AW7" s="82"/>
      <c r="AX7" s="82"/>
      <c r="AY7" t="s">
        <v>15</v>
      </c>
      <c r="AZ7">
        <v>7.4</v>
      </c>
      <c r="BA7" s="100">
        <v>100.22718749999999</v>
      </c>
      <c r="BB7">
        <v>-4.7</v>
      </c>
      <c r="BC7">
        <v>12</v>
      </c>
      <c r="BD7">
        <v>-2.42</v>
      </c>
    </row>
    <row r="8" spans="1:56" x14ac:dyDescent="0.25">
      <c r="A8" s="219" t="s">
        <v>17</v>
      </c>
      <c r="B8" s="12" t="s">
        <v>10</v>
      </c>
      <c r="C8" s="114"/>
      <c r="D8" s="113"/>
      <c r="E8" s="113"/>
      <c r="F8" s="113"/>
      <c r="G8" s="113"/>
      <c r="H8" s="115"/>
      <c r="I8" s="114"/>
      <c r="J8" s="113"/>
      <c r="K8" s="113"/>
      <c r="L8" s="113"/>
      <c r="M8" s="113"/>
      <c r="N8" s="115"/>
      <c r="O8" s="114"/>
      <c r="P8" s="113"/>
      <c r="Q8" s="113"/>
      <c r="R8" s="113"/>
      <c r="S8" s="113"/>
      <c r="T8" s="115"/>
      <c r="U8" s="114"/>
      <c r="V8" s="113"/>
      <c r="W8" s="113"/>
      <c r="X8" s="113"/>
      <c r="Y8" s="113"/>
      <c r="Z8" s="115"/>
      <c r="AA8" s="10">
        <v>-0.6</v>
      </c>
      <c r="AB8" s="10">
        <v>-0.5</v>
      </c>
      <c r="AC8" s="10">
        <v>-0.5</v>
      </c>
      <c r="AD8" s="10">
        <v>0.5</v>
      </c>
      <c r="AE8" s="10">
        <v>0.5</v>
      </c>
      <c r="AF8" s="11">
        <v>0.6</v>
      </c>
      <c r="AG8" s="16" t="s">
        <v>15</v>
      </c>
      <c r="AH8" s="157">
        <f t="shared" si="0"/>
        <v>0</v>
      </c>
      <c r="AI8" s="155">
        <f t="shared" si="0"/>
        <v>0</v>
      </c>
      <c r="AJ8" s="155">
        <f t="shared" si="0"/>
        <v>1.3600000000000003</v>
      </c>
      <c r="AK8" s="155">
        <f t="shared" si="0"/>
        <v>2.0275000000000003</v>
      </c>
      <c r="AL8" s="155">
        <f t="shared" si="0"/>
        <v>2.6150000000000002</v>
      </c>
      <c r="AM8" s="145"/>
      <c r="AN8" s="144"/>
      <c r="AO8" s="144"/>
      <c r="AP8" s="82">
        <f>(AK7+AK8)/2*$AA$13</f>
        <v>16.437500000000004</v>
      </c>
      <c r="AQ8" s="82">
        <f>(AL7+AL8)/2*$AA$13</f>
        <v>21.175000000000001</v>
      </c>
      <c r="AR8" s="16" t="s">
        <v>15</v>
      </c>
      <c r="AS8" s="82">
        <f>AF14-AA14</f>
        <v>2.5</v>
      </c>
      <c r="AT8" s="213">
        <f>AA16</f>
        <v>1</v>
      </c>
      <c r="AU8" s="82"/>
      <c r="AV8" s="82"/>
      <c r="AW8" s="82"/>
      <c r="AX8" s="82"/>
      <c r="AY8" t="s">
        <v>16</v>
      </c>
      <c r="AZ8">
        <v>15.4</v>
      </c>
      <c r="BA8" s="100">
        <v>366.79775999999987</v>
      </c>
      <c r="BB8">
        <v>-3.7</v>
      </c>
      <c r="BC8">
        <v>12</v>
      </c>
    </row>
    <row r="9" spans="1:56" x14ac:dyDescent="0.25">
      <c r="A9" s="220"/>
      <c r="B9" s="12" t="s">
        <v>11</v>
      </c>
      <c r="C9" s="114"/>
      <c r="D9" s="113"/>
      <c r="E9" s="113"/>
      <c r="F9" s="113"/>
      <c r="G9" s="113"/>
      <c r="H9" s="115"/>
      <c r="I9" s="114"/>
      <c r="J9" s="113"/>
      <c r="K9" s="113"/>
      <c r="L9" s="113"/>
      <c r="M9" s="113"/>
      <c r="N9" s="115"/>
      <c r="O9" s="114"/>
      <c r="P9" s="113"/>
      <c r="Q9" s="113"/>
      <c r="R9" s="113"/>
      <c r="S9" s="113"/>
      <c r="T9" s="115"/>
      <c r="U9" s="114"/>
      <c r="V9" s="113"/>
      <c r="W9" s="113"/>
      <c r="X9" s="113"/>
      <c r="Y9" s="113"/>
      <c r="Z9" s="115"/>
      <c r="AA9" s="16">
        <v>0</v>
      </c>
      <c r="AB9" s="16">
        <v>-0.5</v>
      </c>
      <c r="AC9" s="16">
        <v>-0.9</v>
      </c>
      <c r="AD9" s="16">
        <v>-0.9</v>
      </c>
      <c r="AE9" s="16">
        <v>-0.6</v>
      </c>
      <c r="AF9" s="17">
        <v>0</v>
      </c>
      <c r="AG9" s="16" t="s">
        <v>14</v>
      </c>
      <c r="AH9" s="157">
        <f t="shared" si="0"/>
        <v>0</v>
      </c>
      <c r="AI9" s="155">
        <f t="shared" si="0"/>
        <v>1.55</v>
      </c>
      <c r="AJ9" s="155">
        <f t="shared" si="0"/>
        <v>3.5049999999999999</v>
      </c>
      <c r="AK9" s="155">
        <f t="shared" si="0"/>
        <v>5.19</v>
      </c>
      <c r="AL9" s="155">
        <f t="shared" si="0"/>
        <v>12.105</v>
      </c>
      <c r="AM9" s="145"/>
      <c r="AN9" s="144"/>
      <c r="AO9" s="82">
        <f>(AJ8+AJ9)/2*$AA$16</f>
        <v>2.4325000000000001</v>
      </c>
      <c r="AP9" s="82">
        <f>(AK8+AK9)/2*$AA$16</f>
        <v>3.6087500000000006</v>
      </c>
      <c r="AQ9" s="82">
        <f>(AL8+AL9)/2*$AA$16</f>
        <v>7.36</v>
      </c>
      <c r="AR9" s="16" t="s">
        <v>14</v>
      </c>
      <c r="AS9" s="82">
        <f>AF17-AA17</f>
        <v>7.1</v>
      </c>
      <c r="AT9" s="213">
        <f>AA19</f>
        <v>10</v>
      </c>
      <c r="AU9" s="82"/>
      <c r="AV9" s="82"/>
      <c r="AW9" s="82"/>
      <c r="AX9" s="82"/>
      <c r="AY9" t="s">
        <v>17</v>
      </c>
      <c r="AZ9">
        <v>20.8</v>
      </c>
      <c r="BA9" s="100">
        <v>142.83234872999989</v>
      </c>
      <c r="BB9">
        <v>-1.6</v>
      </c>
      <c r="BC9">
        <v>5.7</v>
      </c>
    </row>
    <row r="10" spans="1:56" ht="15.75" thickBot="1" x14ac:dyDescent="0.3">
      <c r="A10" s="221"/>
      <c r="B10" s="12" t="s">
        <v>12</v>
      </c>
      <c r="C10" s="114"/>
      <c r="D10" s="113"/>
      <c r="E10" s="113"/>
      <c r="F10" s="113"/>
      <c r="G10" s="113"/>
      <c r="H10" s="115"/>
      <c r="I10" s="114"/>
      <c r="J10" s="113"/>
      <c r="K10" s="113"/>
      <c r="L10" s="113"/>
      <c r="M10" s="113"/>
      <c r="N10" s="115"/>
      <c r="O10" s="114"/>
      <c r="P10" s="113"/>
      <c r="Q10" s="113"/>
      <c r="R10" s="113"/>
      <c r="S10" s="113"/>
      <c r="T10" s="115"/>
      <c r="U10" s="114"/>
      <c r="V10" s="113"/>
      <c r="W10" s="113"/>
      <c r="X10" s="113"/>
      <c r="Y10" s="113"/>
      <c r="Z10" s="115"/>
      <c r="AA10" s="16">
        <v>15</v>
      </c>
      <c r="AB10" s="111"/>
      <c r="AC10" s="111"/>
      <c r="AD10" s="111"/>
      <c r="AE10" s="111"/>
      <c r="AF10" s="29"/>
      <c r="AG10" s="16" t="s">
        <v>13</v>
      </c>
      <c r="AH10" s="157">
        <f t="shared" si="0"/>
        <v>1.44</v>
      </c>
      <c r="AI10" s="155">
        <f t="shared" si="0"/>
        <v>1.8984999999999999</v>
      </c>
      <c r="AJ10" s="155">
        <f t="shared" si="0"/>
        <v>2.5100999999999996</v>
      </c>
      <c r="AK10" s="155">
        <f t="shared" si="0"/>
        <v>5.0726000000000004</v>
      </c>
      <c r="AL10" s="155">
        <f t="shared" si="0"/>
        <v>7.6100000000000012</v>
      </c>
      <c r="AM10" s="148"/>
      <c r="AN10" s="82">
        <f>(AI9+AI10)/2*$AA$19</f>
        <v>17.2425</v>
      </c>
      <c r="AO10" s="82">
        <f>(AJ9+AJ10)/2*$AA$19</f>
        <v>30.075499999999998</v>
      </c>
      <c r="AP10" s="82">
        <f>(AK9+AK10)/2*$AA$19</f>
        <v>51.313000000000002</v>
      </c>
      <c r="AQ10" s="82">
        <f>(AL9+AL10)/2*$AA$19</f>
        <v>98.575000000000017</v>
      </c>
      <c r="AR10" s="16" t="s">
        <v>13</v>
      </c>
      <c r="AS10" s="82">
        <f>AF20-AA20</f>
        <v>5.5</v>
      </c>
      <c r="AT10" s="213">
        <f>AA22</f>
        <v>8.1999999999999993</v>
      </c>
      <c r="AU10" s="82"/>
      <c r="AV10" s="82"/>
      <c r="AW10" s="82"/>
      <c r="AX10" s="82"/>
      <c r="AY10" t="s">
        <v>18</v>
      </c>
      <c r="AZ10">
        <v>30.8</v>
      </c>
      <c r="BA10" s="100">
        <v>70.801949500000006</v>
      </c>
      <c r="BB10">
        <v>-1.7</v>
      </c>
      <c r="BC10">
        <v>3.2</v>
      </c>
      <c r="BD10">
        <v>-2.5099999999999998</v>
      </c>
    </row>
    <row r="11" spans="1:56" x14ac:dyDescent="0.25">
      <c r="A11" s="219" t="s">
        <v>16</v>
      </c>
      <c r="B11" s="5" t="s">
        <v>10</v>
      </c>
      <c r="C11" s="127"/>
      <c r="D11" s="116"/>
      <c r="E11" s="116"/>
      <c r="F11" s="116"/>
      <c r="G11" s="116"/>
      <c r="H11" s="123"/>
      <c r="I11" s="127"/>
      <c r="J11" s="116"/>
      <c r="K11" s="116"/>
      <c r="L11" s="116"/>
      <c r="M11" s="116"/>
      <c r="N11" s="123"/>
      <c r="O11" s="127"/>
      <c r="P11" s="116"/>
      <c r="Q11" s="116"/>
      <c r="R11" s="116"/>
      <c r="S11" s="116"/>
      <c r="T11" s="123"/>
      <c r="U11" s="35">
        <v>-0.7</v>
      </c>
      <c r="V11" s="35">
        <v>-0.7</v>
      </c>
      <c r="W11" s="35">
        <v>-0.7</v>
      </c>
      <c r="X11" s="36">
        <v>0.7</v>
      </c>
      <c r="Y11" s="36">
        <v>0.7</v>
      </c>
      <c r="Z11" s="36">
        <v>0.7</v>
      </c>
      <c r="AA11" s="10">
        <v>-0.9</v>
      </c>
      <c r="AB11" s="34">
        <v>-0.9</v>
      </c>
      <c r="AC11" s="34">
        <v>-0.9</v>
      </c>
      <c r="AD11" s="34">
        <v>0.9</v>
      </c>
      <c r="AE11" s="34">
        <v>0.9</v>
      </c>
      <c r="AF11" s="8">
        <v>0.9</v>
      </c>
      <c r="AG11" s="16" t="s">
        <v>9</v>
      </c>
      <c r="AH11" s="157">
        <f t="shared" si="0"/>
        <v>1.5110000000000001</v>
      </c>
      <c r="AI11" s="155">
        <f t="shared" si="0"/>
        <v>1.7929999999999999</v>
      </c>
      <c r="AJ11" s="155">
        <f t="shared" si="0"/>
        <v>2.7467500000000005</v>
      </c>
      <c r="AK11" s="155">
        <f t="shared" si="0"/>
        <v>6.8814500000000001</v>
      </c>
      <c r="AL11" s="155">
        <f t="shared" si="0"/>
        <v>8.7899999999999991</v>
      </c>
      <c r="AM11" s="73">
        <f>(AH11+AH10)/2 *$AA$22</f>
        <v>12.0991</v>
      </c>
      <c r="AN11" s="73">
        <f>(AI11+AI10)/2 *$AA$22</f>
        <v>15.135149999999998</v>
      </c>
      <c r="AO11" s="73">
        <f>(AJ11+AJ10)/2 *$AA$22</f>
        <v>21.553084999999999</v>
      </c>
      <c r="AP11" s="73">
        <f>(AK11+AK10)/2 *$AA$22</f>
        <v>49.011604999999996</v>
      </c>
      <c r="AQ11" s="73">
        <f>(AL11+AL10)/2 *$AA$22</f>
        <v>67.239999999999995</v>
      </c>
      <c r="AR11" s="16" t="s">
        <v>9</v>
      </c>
      <c r="AS11" s="82">
        <f>AF23-AA23</f>
        <v>6</v>
      </c>
      <c r="AT11" s="213">
        <f>AA25</f>
        <v>0</v>
      </c>
      <c r="AU11" s="82"/>
      <c r="AV11" s="82"/>
      <c r="AW11" s="82"/>
      <c r="AX11" s="82"/>
      <c r="AY11" t="s">
        <v>19</v>
      </c>
      <c r="AZ11">
        <v>36.799999999999997</v>
      </c>
      <c r="BA11" s="100">
        <v>28.90428</v>
      </c>
      <c r="BB11">
        <v>-1.8</v>
      </c>
      <c r="BC11">
        <v>3</v>
      </c>
    </row>
    <row r="12" spans="1:56" x14ac:dyDescent="0.25">
      <c r="A12" s="220"/>
      <c r="B12" s="12" t="s">
        <v>11</v>
      </c>
      <c r="C12" s="114"/>
      <c r="D12" s="113"/>
      <c r="E12" s="113"/>
      <c r="F12" s="113"/>
      <c r="G12" s="113"/>
      <c r="H12" s="115"/>
      <c r="I12" s="114"/>
      <c r="J12" s="113"/>
      <c r="K12" s="113"/>
      <c r="L12" s="113"/>
      <c r="M12" s="113"/>
      <c r="N12" s="115"/>
      <c r="O12" s="114"/>
      <c r="P12" s="113"/>
      <c r="Q12" s="113"/>
      <c r="R12" s="113"/>
      <c r="S12" s="113"/>
      <c r="T12" s="115"/>
      <c r="U12" s="30">
        <v>0</v>
      </c>
      <c r="V12" s="31">
        <v>-0.9</v>
      </c>
      <c r="W12" s="31">
        <v>-0.9</v>
      </c>
      <c r="X12" s="31">
        <v>-0.9</v>
      </c>
      <c r="Y12" s="31">
        <v>-0.9</v>
      </c>
      <c r="Z12" s="31">
        <v>0</v>
      </c>
      <c r="AA12" s="16">
        <v>0</v>
      </c>
      <c r="AB12" s="31">
        <v>-0.9</v>
      </c>
      <c r="AC12" s="31">
        <v>-0.9</v>
      </c>
      <c r="AD12" s="31">
        <v>-0.9</v>
      </c>
      <c r="AE12" s="31">
        <v>-0.9</v>
      </c>
      <c r="AF12" s="31">
        <v>0</v>
      </c>
      <c r="AG12" s="16"/>
      <c r="AH12" s="148"/>
      <c r="AI12" s="149"/>
      <c r="AJ12" s="149"/>
      <c r="AK12" s="149"/>
      <c r="AL12" s="150"/>
      <c r="AM12" s="148"/>
      <c r="AN12" s="149"/>
      <c r="AO12" s="149"/>
      <c r="AP12" s="144"/>
      <c r="AQ12" s="146"/>
      <c r="AR12" s="144"/>
      <c r="AS12" s="144"/>
      <c r="AT12" s="144"/>
      <c r="AU12" s="144"/>
      <c r="AV12" s="144"/>
      <c r="AW12" s="144"/>
      <c r="AX12" s="144"/>
      <c r="AY12" t="s">
        <v>20</v>
      </c>
      <c r="AZ12">
        <v>39.799999999999997</v>
      </c>
      <c r="BA12" s="100">
        <v>9.3618780000000008</v>
      </c>
      <c r="BB12">
        <v>-1.2</v>
      </c>
      <c r="BC12">
        <v>1.4</v>
      </c>
      <c r="BD12">
        <v>-2.44</v>
      </c>
    </row>
    <row r="13" spans="1:56" ht="15.75" thickBot="1" x14ac:dyDescent="0.3">
      <c r="A13" s="221"/>
      <c r="B13" s="18" t="s">
        <v>12</v>
      </c>
      <c r="C13" s="117"/>
      <c r="D13" s="118"/>
      <c r="E13" s="118"/>
      <c r="F13" s="118"/>
      <c r="G13" s="118"/>
      <c r="H13" s="119"/>
      <c r="I13" s="117"/>
      <c r="J13" s="118"/>
      <c r="K13" s="118"/>
      <c r="L13" s="118"/>
      <c r="M13" s="118"/>
      <c r="N13" s="119"/>
      <c r="O13" s="117"/>
      <c r="P13" s="118"/>
      <c r="Q13" s="118"/>
      <c r="R13" s="118"/>
      <c r="S13" s="118"/>
      <c r="T13" s="119"/>
      <c r="U13" s="22">
        <v>10</v>
      </c>
      <c r="V13" s="23"/>
      <c r="W13" s="23"/>
      <c r="X13" s="23"/>
      <c r="Y13" s="23"/>
      <c r="Z13" s="24"/>
      <c r="AA13" s="25">
        <v>10</v>
      </c>
      <c r="AB13" s="20"/>
      <c r="AC13" s="20"/>
      <c r="AD13" s="20"/>
      <c r="AE13" s="20"/>
      <c r="AF13" s="21"/>
      <c r="AG13" s="16"/>
      <c r="AH13" s="151"/>
      <c r="AI13" s="152"/>
      <c r="AJ13" s="152"/>
      <c r="AK13" s="152"/>
      <c r="AL13" s="153"/>
      <c r="AM13" s="151"/>
      <c r="AN13" s="152"/>
      <c r="AO13" s="152"/>
      <c r="AP13" s="152"/>
      <c r="AQ13" s="154"/>
      <c r="AR13" s="144"/>
      <c r="AS13" s="144"/>
      <c r="AT13" s="144"/>
      <c r="AU13" s="144"/>
      <c r="AV13" s="144"/>
      <c r="AW13" s="144"/>
      <c r="AX13" s="144"/>
      <c r="AZ13">
        <f>SUM(AZ4:AZ12)</f>
        <v>158.30000000000001</v>
      </c>
    </row>
    <row r="14" spans="1:56" x14ac:dyDescent="0.25">
      <c r="A14" s="219" t="s">
        <v>15</v>
      </c>
      <c r="B14" s="12" t="s">
        <v>10</v>
      </c>
      <c r="C14" s="114"/>
      <c r="D14" s="113"/>
      <c r="E14" s="113"/>
      <c r="F14" s="113"/>
      <c r="G14" s="113"/>
      <c r="H14" s="115"/>
      <c r="I14" s="114"/>
      <c r="J14" s="113"/>
      <c r="K14" s="113"/>
      <c r="L14" s="113"/>
      <c r="M14" s="113"/>
      <c r="N14" s="115"/>
      <c r="O14" s="30">
        <v>-0.8</v>
      </c>
      <c r="P14" s="30">
        <v>-0.8</v>
      </c>
      <c r="Q14" s="30">
        <v>-0.8</v>
      </c>
      <c r="R14" s="31">
        <v>0.9</v>
      </c>
      <c r="S14" s="31">
        <v>0.9</v>
      </c>
      <c r="T14" s="31">
        <v>0.9</v>
      </c>
      <c r="U14" s="31">
        <v>-1</v>
      </c>
      <c r="V14" s="31">
        <v>-0.8</v>
      </c>
      <c r="W14" s="31">
        <v>-0.65</v>
      </c>
      <c r="X14" s="31">
        <v>0.8</v>
      </c>
      <c r="Y14" s="31">
        <v>0.9</v>
      </c>
      <c r="Z14" s="31">
        <v>1.1000000000000001</v>
      </c>
      <c r="AA14" s="16">
        <v>-1.2</v>
      </c>
      <c r="AB14" s="111">
        <v>-1.1000000000000001</v>
      </c>
      <c r="AC14" s="111">
        <v>-1</v>
      </c>
      <c r="AD14" s="111">
        <v>1</v>
      </c>
      <c r="AE14" s="111">
        <v>1.2</v>
      </c>
      <c r="AF14" s="29">
        <v>1.3</v>
      </c>
      <c r="AG14" s="16" t="s">
        <v>86</v>
      </c>
      <c r="AH14" s="64">
        <f t="shared" ref="AH14:AQ14" si="1">SUM(AH6:AH13)</f>
        <v>2.9510000000000001</v>
      </c>
      <c r="AI14" s="64">
        <f t="shared" si="1"/>
        <v>5.2415000000000003</v>
      </c>
      <c r="AJ14" s="64">
        <f t="shared" si="1"/>
        <v>10.12185</v>
      </c>
      <c r="AK14" s="64">
        <f t="shared" si="1"/>
        <v>20.431550000000001</v>
      </c>
      <c r="AL14" s="64">
        <f t="shared" si="1"/>
        <v>33.695</v>
      </c>
      <c r="AM14" s="63">
        <f t="shared" si="1"/>
        <v>12.0991</v>
      </c>
      <c r="AN14" s="63">
        <f t="shared" si="1"/>
        <v>32.377649999999996</v>
      </c>
      <c r="AO14" s="63">
        <f t="shared" si="1"/>
        <v>54.061084999999991</v>
      </c>
      <c r="AP14" s="63">
        <f t="shared" si="1"/>
        <v>120.37085500000001</v>
      </c>
      <c r="AQ14" s="63">
        <f t="shared" si="1"/>
        <v>213.66250000000002</v>
      </c>
      <c r="AR14" s="63"/>
      <c r="AS14" s="63"/>
      <c r="AT14" s="63"/>
      <c r="AU14" s="63"/>
      <c r="AV14" s="63"/>
      <c r="AW14" s="63"/>
      <c r="AX14" s="63"/>
      <c r="AY14">
        <v>218.87448908333334</v>
      </c>
    </row>
    <row r="15" spans="1:56" x14ac:dyDescent="0.25">
      <c r="A15" s="220"/>
      <c r="B15" s="12" t="s">
        <v>11</v>
      </c>
      <c r="C15" s="114"/>
      <c r="D15" s="113"/>
      <c r="E15" s="113"/>
      <c r="F15" s="113"/>
      <c r="G15" s="113"/>
      <c r="H15" s="115"/>
      <c r="I15" s="114"/>
      <c r="J15" s="113"/>
      <c r="K15" s="113"/>
      <c r="L15" s="113"/>
      <c r="M15" s="113"/>
      <c r="N15" s="115"/>
      <c r="O15" s="30">
        <v>0</v>
      </c>
      <c r="P15" s="31">
        <v>-0.8</v>
      </c>
      <c r="Q15" s="31">
        <v>-0.8</v>
      </c>
      <c r="R15" s="31">
        <v>-0.8</v>
      </c>
      <c r="S15" s="31">
        <v>-0.8</v>
      </c>
      <c r="T15" s="32">
        <v>0</v>
      </c>
      <c r="U15" s="31">
        <v>0</v>
      </c>
      <c r="V15" s="31">
        <v>-1</v>
      </c>
      <c r="W15" s="31">
        <v>-1.1000000000000001</v>
      </c>
      <c r="X15" s="31">
        <v>-1.1000000000000001</v>
      </c>
      <c r="Y15" s="31">
        <v>-0.8</v>
      </c>
      <c r="Z15" s="31">
        <v>0</v>
      </c>
      <c r="AA15" s="16">
        <v>0</v>
      </c>
      <c r="AB15" s="111">
        <v>-1</v>
      </c>
      <c r="AC15" s="111">
        <v>-1.1000000000000001</v>
      </c>
      <c r="AD15" s="111">
        <v>-1.1000000000000001</v>
      </c>
      <c r="AE15" s="111">
        <v>-1</v>
      </c>
      <c r="AF15" s="29">
        <v>0</v>
      </c>
      <c r="AG15" s="111"/>
      <c r="AK15" s="65"/>
      <c r="AL15" s="180">
        <f>AL14-AH14</f>
        <v>30.744</v>
      </c>
      <c r="AM15">
        <v>0</v>
      </c>
      <c r="AN15" s="63">
        <f>AN14-$AM14</f>
        <v>20.278549999999996</v>
      </c>
      <c r="AO15" s="63">
        <f>AO14-$AM14</f>
        <v>41.961984999999991</v>
      </c>
      <c r="AP15" s="63">
        <f>AP14-$AM14</f>
        <v>108.27175500000001</v>
      </c>
      <c r="AQ15" s="63">
        <f>AQ14-$AM14</f>
        <v>201.56340000000003</v>
      </c>
      <c r="AR15" s="63"/>
      <c r="AS15" s="63"/>
      <c r="AT15" s="63"/>
      <c r="AU15" s="63"/>
      <c r="AV15" s="63"/>
      <c r="AW15" s="63"/>
      <c r="AX15" s="63"/>
      <c r="AY15">
        <v>202.1111603173143</v>
      </c>
    </row>
    <row r="16" spans="1:56" ht="15.75" thickBot="1" x14ac:dyDescent="0.3">
      <c r="A16" s="221"/>
      <c r="B16" s="12" t="s">
        <v>12</v>
      </c>
      <c r="C16" s="114"/>
      <c r="D16" s="113"/>
      <c r="E16" s="113"/>
      <c r="F16" s="113"/>
      <c r="G16" s="113"/>
      <c r="H16" s="115"/>
      <c r="I16" s="114"/>
      <c r="J16" s="113"/>
      <c r="K16" s="113"/>
      <c r="L16" s="113"/>
      <c r="M16" s="113"/>
      <c r="N16" s="115"/>
      <c r="O16" s="30">
        <v>1</v>
      </c>
      <c r="P16" s="31"/>
      <c r="Q16" s="31"/>
      <c r="R16" s="31"/>
      <c r="S16" s="31"/>
      <c r="T16" s="32"/>
      <c r="U16" s="30">
        <v>1</v>
      </c>
      <c r="V16" s="31"/>
      <c r="W16" s="31"/>
      <c r="X16" s="31"/>
      <c r="Y16" s="31"/>
      <c r="Z16" s="32"/>
      <c r="AA16" s="25">
        <v>1</v>
      </c>
      <c r="AB16" s="20"/>
      <c r="AC16" s="20"/>
      <c r="AD16" s="20"/>
      <c r="AE16" s="20"/>
      <c r="AF16" s="21"/>
      <c r="AG16" s="111"/>
      <c r="AQ16" s="63"/>
      <c r="AR16" s="63"/>
      <c r="AS16" s="63"/>
      <c r="AT16" s="63"/>
      <c r="AU16" s="63"/>
      <c r="AV16" s="63"/>
      <c r="AW16" s="63"/>
      <c r="AX16" s="63"/>
    </row>
    <row r="17" spans="1:43" x14ac:dyDescent="0.25">
      <c r="A17" s="219" t="s">
        <v>14</v>
      </c>
      <c r="B17" s="5" t="s">
        <v>10</v>
      </c>
      <c r="C17" s="127"/>
      <c r="D17" s="116"/>
      <c r="E17" s="116"/>
      <c r="F17" s="116"/>
      <c r="G17" s="116"/>
      <c r="H17" s="123"/>
      <c r="I17" s="35">
        <v>-0.7</v>
      </c>
      <c r="J17" s="35">
        <v>-0.7</v>
      </c>
      <c r="K17" s="35">
        <v>-0.7</v>
      </c>
      <c r="L17" s="36">
        <v>0.85</v>
      </c>
      <c r="M17" s="36">
        <v>0.85</v>
      </c>
      <c r="N17" s="36">
        <v>0.85</v>
      </c>
      <c r="O17" s="35">
        <v>-1.6</v>
      </c>
      <c r="P17" s="36">
        <v>-1.5</v>
      </c>
      <c r="Q17" s="36">
        <v>-0.9</v>
      </c>
      <c r="R17" s="36">
        <v>1</v>
      </c>
      <c r="S17" s="36">
        <v>1.4</v>
      </c>
      <c r="T17" s="9">
        <v>1.7</v>
      </c>
      <c r="U17" s="35">
        <v>-2.4</v>
      </c>
      <c r="V17" s="36">
        <v>-2.2000000000000002</v>
      </c>
      <c r="W17" s="36">
        <v>-1.7</v>
      </c>
      <c r="X17" s="36">
        <v>1.7</v>
      </c>
      <c r="Y17" s="36">
        <v>2.2999999999999998</v>
      </c>
      <c r="Z17" s="9">
        <v>2.5</v>
      </c>
      <c r="AA17" s="10">
        <v>-3.5</v>
      </c>
      <c r="AB17" s="34">
        <v>-3.3</v>
      </c>
      <c r="AC17" s="34">
        <v>-2.5</v>
      </c>
      <c r="AD17" s="34">
        <v>2.5</v>
      </c>
      <c r="AE17" s="34">
        <v>3.4</v>
      </c>
      <c r="AF17" s="8">
        <v>3.6</v>
      </c>
      <c r="AG17" s="111"/>
      <c r="AK17" s="65"/>
      <c r="AL17" s="65"/>
    </row>
    <row r="18" spans="1:43" x14ac:dyDescent="0.25">
      <c r="A18" s="220"/>
      <c r="B18" s="12" t="s">
        <v>11</v>
      </c>
      <c r="C18" s="114"/>
      <c r="D18" s="113"/>
      <c r="E18" s="113"/>
      <c r="F18" s="113"/>
      <c r="G18" s="113"/>
      <c r="H18" s="115"/>
      <c r="I18" s="30">
        <v>0</v>
      </c>
      <c r="J18" s="31">
        <v>-1</v>
      </c>
      <c r="K18" s="31">
        <v>-1</v>
      </c>
      <c r="L18" s="31">
        <v>-1</v>
      </c>
      <c r="M18" s="31">
        <v>-1</v>
      </c>
      <c r="N18" s="32">
        <v>0</v>
      </c>
      <c r="O18" s="30">
        <v>0</v>
      </c>
      <c r="P18" s="31">
        <v>-0.5</v>
      </c>
      <c r="Q18" s="31">
        <v>-1.3</v>
      </c>
      <c r="R18" s="31">
        <v>-1.3</v>
      </c>
      <c r="S18" s="31">
        <v>-0.6</v>
      </c>
      <c r="T18" s="32">
        <v>0</v>
      </c>
      <c r="U18" s="30">
        <v>0</v>
      </c>
      <c r="V18" s="31">
        <v>-0.6</v>
      </c>
      <c r="W18" s="31">
        <v>-1.2</v>
      </c>
      <c r="X18" s="31">
        <v>-1.2</v>
      </c>
      <c r="Y18" s="31">
        <v>-0.6</v>
      </c>
      <c r="Z18" s="32">
        <v>0</v>
      </c>
      <c r="AA18" s="16">
        <v>0</v>
      </c>
      <c r="AB18" s="111">
        <v>-1.5</v>
      </c>
      <c r="AC18" s="111">
        <v>-1.8</v>
      </c>
      <c r="AD18" s="111">
        <v>-1.8</v>
      </c>
      <c r="AE18" s="111">
        <v>-1.5</v>
      </c>
      <c r="AF18" s="29">
        <v>0</v>
      </c>
      <c r="AG18" s="16"/>
      <c r="AH18" t="s">
        <v>73</v>
      </c>
      <c r="AK18" s="65"/>
      <c r="AL18" s="65">
        <f>AA10+AA13+AA16+AA19</f>
        <v>36</v>
      </c>
    </row>
    <row r="19" spans="1:43" ht="15.75" thickBot="1" x14ac:dyDescent="0.3">
      <c r="A19" s="221"/>
      <c r="B19" s="18" t="s">
        <v>12</v>
      </c>
      <c r="C19" s="117">
        <v>8</v>
      </c>
      <c r="D19" s="118"/>
      <c r="E19" s="118"/>
      <c r="F19" s="118"/>
      <c r="G19" s="118"/>
      <c r="H19" s="119"/>
      <c r="I19" s="22">
        <v>10</v>
      </c>
      <c r="J19" s="23"/>
      <c r="K19" s="23"/>
      <c r="L19" s="23"/>
      <c r="M19" s="23"/>
      <c r="N19" s="24"/>
      <c r="O19" s="22">
        <v>10</v>
      </c>
      <c r="P19" s="23"/>
      <c r="Q19" s="23"/>
      <c r="R19" s="23"/>
      <c r="S19" s="23"/>
      <c r="T19" s="24"/>
      <c r="U19" s="22">
        <v>10</v>
      </c>
      <c r="V19" s="23"/>
      <c r="W19" s="23"/>
      <c r="X19" s="23"/>
      <c r="Y19" s="23"/>
      <c r="Z19" s="24"/>
      <c r="AA19" s="20">
        <v>10</v>
      </c>
      <c r="AB19" s="20"/>
      <c r="AC19" s="20"/>
      <c r="AD19" s="20"/>
      <c r="AE19" s="20"/>
      <c r="AF19" s="21"/>
      <c r="AG19" s="16"/>
      <c r="AH19" t="s">
        <v>80</v>
      </c>
      <c r="AL19" s="64">
        <f>(AD9+AD12+AD15+AD18+AD21+AD24)/6</f>
        <v>-1.3833333333333335</v>
      </c>
    </row>
    <row r="20" spans="1:43" x14ac:dyDescent="0.25">
      <c r="A20" s="219" t="s">
        <v>13</v>
      </c>
      <c r="B20" s="12" t="s">
        <v>10</v>
      </c>
      <c r="C20" s="2">
        <v>-0.16000000000000014</v>
      </c>
      <c r="D20" s="2">
        <v>-0.16000000000000014</v>
      </c>
      <c r="E20" s="2">
        <v>-0.16000000000000014</v>
      </c>
      <c r="F20" s="31">
        <v>0.86</v>
      </c>
      <c r="G20" s="31">
        <v>2.15</v>
      </c>
      <c r="H20" s="2">
        <v>2.4499999999999997</v>
      </c>
      <c r="I20" s="2">
        <v>-0.32000000000000028</v>
      </c>
      <c r="J20" s="31">
        <v>-0.32</v>
      </c>
      <c r="K20" s="31">
        <v>-0.32</v>
      </c>
      <c r="L20" s="31">
        <v>1.2</v>
      </c>
      <c r="M20" s="31">
        <v>2.25</v>
      </c>
      <c r="N20" s="2">
        <v>2.4499999999999997</v>
      </c>
      <c r="O20">
        <v>-0.66</v>
      </c>
      <c r="P20" s="31">
        <v>-0.6</v>
      </c>
      <c r="Q20" s="31">
        <v>-0.6</v>
      </c>
      <c r="R20" s="31">
        <v>1.2</v>
      </c>
      <c r="S20" s="31">
        <v>2.23</v>
      </c>
      <c r="T20">
        <v>2.4699999999999998</v>
      </c>
      <c r="U20">
        <v>-1.53</v>
      </c>
      <c r="V20">
        <v>-1</v>
      </c>
      <c r="W20" s="31">
        <v>-0.85</v>
      </c>
      <c r="X20" s="31">
        <v>1</v>
      </c>
      <c r="Y20" s="31">
        <v>2.35</v>
      </c>
      <c r="Z20">
        <v>2.5</v>
      </c>
      <c r="AA20" s="10">
        <v>-2.8</v>
      </c>
      <c r="AB20" s="34">
        <v>-2.6</v>
      </c>
      <c r="AC20" s="34">
        <v>-1</v>
      </c>
      <c r="AD20" s="34">
        <v>1</v>
      </c>
      <c r="AE20" s="34">
        <v>2.5</v>
      </c>
      <c r="AF20" s="8">
        <v>2.7</v>
      </c>
      <c r="AG20" s="16"/>
      <c r="AK20" s="65"/>
      <c r="AL20" s="65"/>
    </row>
    <row r="21" spans="1:43" x14ac:dyDescent="0.25">
      <c r="A21" s="220"/>
      <c r="B21" s="12" t="s">
        <v>11</v>
      </c>
      <c r="C21" s="30">
        <v>0</v>
      </c>
      <c r="D21" s="31">
        <v>-0.45</v>
      </c>
      <c r="E21" s="31">
        <v>-0.65</v>
      </c>
      <c r="F21" s="31">
        <v>-0.65</v>
      </c>
      <c r="G21" s="31">
        <v>-0.45</v>
      </c>
      <c r="H21" s="32">
        <v>0</v>
      </c>
      <c r="I21" s="30">
        <v>0</v>
      </c>
      <c r="J21" s="31">
        <v>-0.5</v>
      </c>
      <c r="K21" s="31">
        <v>-0.8</v>
      </c>
      <c r="L21" s="31">
        <v>-0.8</v>
      </c>
      <c r="M21" s="31">
        <v>-0.42</v>
      </c>
      <c r="N21" s="32">
        <v>0</v>
      </c>
      <c r="O21" s="30">
        <v>0</v>
      </c>
      <c r="P21" s="31">
        <v>-0.55000000000000004</v>
      </c>
      <c r="Q21" s="31">
        <v>-0.94</v>
      </c>
      <c r="R21" s="31">
        <v>-0.94</v>
      </c>
      <c r="S21" s="31">
        <v>-0.5</v>
      </c>
      <c r="T21" s="32">
        <v>0</v>
      </c>
      <c r="U21" s="30">
        <v>0</v>
      </c>
      <c r="V21" s="31">
        <v>-1.1399999999999999</v>
      </c>
      <c r="W21">
        <v>-1.6</v>
      </c>
      <c r="X21">
        <v>-1.6</v>
      </c>
      <c r="Y21" s="31">
        <v>-0.7</v>
      </c>
      <c r="Z21" s="32">
        <v>0</v>
      </c>
      <c r="AA21" s="131">
        <v>0</v>
      </c>
      <c r="AB21" s="131">
        <v>-0.6</v>
      </c>
      <c r="AC21" s="131">
        <v>-1.8</v>
      </c>
      <c r="AD21" s="131">
        <v>-1.8</v>
      </c>
      <c r="AE21" s="131">
        <v>-0.8</v>
      </c>
      <c r="AF21" s="29">
        <v>0</v>
      </c>
      <c r="AG21" s="16"/>
      <c r="AH21" s="65"/>
      <c r="AI21" s="65"/>
      <c r="AJ21" s="65"/>
      <c r="AK21" s="65"/>
      <c r="AL21" s="65"/>
    </row>
    <row r="22" spans="1:43" ht="15.75" thickBot="1" x14ac:dyDescent="0.3">
      <c r="A22" s="221"/>
      <c r="B22" s="12" t="s">
        <v>12</v>
      </c>
      <c r="C22" s="20">
        <v>8.1999999999999993</v>
      </c>
      <c r="D22" s="31"/>
      <c r="E22" s="31"/>
      <c r="F22" s="31"/>
      <c r="G22" s="31"/>
      <c r="H22" s="32"/>
      <c r="I22" s="20">
        <v>8.1999999999999993</v>
      </c>
      <c r="J22" s="31"/>
      <c r="K22" s="31"/>
      <c r="L22" s="31"/>
      <c r="M22" s="31"/>
      <c r="N22" s="32"/>
      <c r="O22" s="20">
        <v>8.1999999999999993</v>
      </c>
      <c r="P22" s="31"/>
      <c r="Q22" s="31"/>
      <c r="R22" s="31"/>
      <c r="S22" s="31"/>
      <c r="T22" s="32"/>
      <c r="U22" s="20">
        <v>8.1999999999999993</v>
      </c>
      <c r="V22" s="31"/>
      <c r="W22" s="31"/>
      <c r="X22" s="31"/>
      <c r="Y22" s="31"/>
      <c r="Z22" s="32"/>
      <c r="AA22" s="20">
        <v>8.1999999999999993</v>
      </c>
      <c r="AB22" s="20"/>
      <c r="AC22" s="20"/>
      <c r="AD22" s="20"/>
      <c r="AE22" s="20"/>
      <c r="AF22" s="21"/>
      <c r="AG22" s="16"/>
      <c r="AH22" s="65"/>
      <c r="AI22" s="65"/>
      <c r="AJ22" s="65"/>
      <c r="AK22" s="65"/>
      <c r="AL22" s="65"/>
      <c r="AQ22" t="s">
        <v>155</v>
      </c>
    </row>
    <row r="23" spans="1:43" x14ac:dyDescent="0.25">
      <c r="A23" s="219" t="s">
        <v>9</v>
      </c>
      <c r="B23" s="5" t="s">
        <v>10</v>
      </c>
      <c r="C23" s="2">
        <v>-0.78</v>
      </c>
      <c r="D23" s="2">
        <v>-0.65</v>
      </c>
      <c r="E23" s="2">
        <v>-0.4</v>
      </c>
      <c r="F23" s="36">
        <v>0.9</v>
      </c>
      <c r="G23" s="36">
        <v>1.23</v>
      </c>
      <c r="H23" s="2">
        <v>1.5</v>
      </c>
      <c r="I23" s="2">
        <v>-0.87000000000000011</v>
      </c>
      <c r="J23" s="36">
        <v>-0.72</v>
      </c>
      <c r="K23" s="36">
        <v>-0.4</v>
      </c>
      <c r="L23" s="36">
        <v>0.9</v>
      </c>
      <c r="M23" s="36">
        <v>1.53</v>
      </c>
      <c r="N23" s="2">
        <v>1.75</v>
      </c>
      <c r="O23">
        <v>-0.9700000000000002</v>
      </c>
      <c r="P23" s="36">
        <v>-0.72</v>
      </c>
      <c r="Q23" s="36">
        <v>-0.54</v>
      </c>
      <c r="R23" s="36">
        <v>1.1000000000000001</v>
      </c>
      <c r="S23" s="36">
        <v>1.7</v>
      </c>
      <c r="T23">
        <v>1.87</v>
      </c>
      <c r="U23">
        <v>-1.76</v>
      </c>
      <c r="V23" s="36">
        <v>-1.45</v>
      </c>
      <c r="W23" s="36">
        <v>-1</v>
      </c>
      <c r="X23" s="36">
        <v>1.1000000000000001</v>
      </c>
      <c r="Y23" s="36">
        <v>2</v>
      </c>
      <c r="Z23">
        <v>2.25</v>
      </c>
      <c r="AA23" s="34">
        <v>-3</v>
      </c>
      <c r="AB23" s="34">
        <v>-2.8</v>
      </c>
      <c r="AC23" s="34">
        <v>-1.5</v>
      </c>
      <c r="AD23" s="34">
        <v>1.5</v>
      </c>
      <c r="AE23" s="34">
        <v>2.8</v>
      </c>
      <c r="AF23" s="8">
        <v>3</v>
      </c>
      <c r="AG23" s="16"/>
      <c r="AH23" s="65"/>
      <c r="AI23" s="65"/>
      <c r="AJ23" s="65"/>
      <c r="AK23" s="65"/>
      <c r="AL23" s="65"/>
      <c r="AO23" s="47">
        <v>41453</v>
      </c>
      <c r="AP23" t="s">
        <v>13</v>
      </c>
      <c r="AQ23">
        <f>E21</f>
        <v>-0.65</v>
      </c>
    </row>
    <row r="24" spans="1:43" x14ac:dyDescent="0.25">
      <c r="A24" s="220"/>
      <c r="B24" s="12" t="s">
        <v>11</v>
      </c>
      <c r="C24" s="30">
        <v>0</v>
      </c>
      <c r="D24" s="31">
        <v>-0.65</v>
      </c>
      <c r="E24" s="31">
        <v>-0.75</v>
      </c>
      <c r="F24" s="31">
        <v>-0.75</v>
      </c>
      <c r="G24" s="31">
        <v>-0.65</v>
      </c>
      <c r="H24" s="32">
        <v>0</v>
      </c>
      <c r="I24" s="30">
        <v>0</v>
      </c>
      <c r="J24" s="31">
        <v>-0.45</v>
      </c>
      <c r="K24" s="31">
        <v>-0.85</v>
      </c>
      <c r="L24" s="31">
        <v>-0.85</v>
      </c>
      <c r="M24" s="31">
        <v>-0.42</v>
      </c>
      <c r="N24" s="32">
        <v>0</v>
      </c>
      <c r="O24" s="30">
        <v>0</v>
      </c>
      <c r="P24" s="31">
        <v>-0.55000000000000004</v>
      </c>
      <c r="Q24" s="31">
        <v>-1.2</v>
      </c>
      <c r="R24" s="31">
        <v>-1.2</v>
      </c>
      <c r="S24" s="31">
        <v>-0.5</v>
      </c>
      <c r="T24" s="32">
        <v>0</v>
      </c>
      <c r="U24" s="30">
        <v>0</v>
      </c>
      <c r="V24" s="31">
        <v>-1.74</v>
      </c>
      <c r="W24">
        <v>-1.91</v>
      </c>
      <c r="X24">
        <v>-1.91</v>
      </c>
      <c r="Y24" s="31">
        <v>-1.6</v>
      </c>
      <c r="Z24" s="32">
        <v>0</v>
      </c>
      <c r="AA24" s="111">
        <v>0</v>
      </c>
      <c r="AB24" s="111">
        <v>-0.6</v>
      </c>
      <c r="AC24" s="111">
        <v>-1.8</v>
      </c>
      <c r="AD24" s="111">
        <v>-1.8</v>
      </c>
      <c r="AE24" s="111">
        <v>-0.8</v>
      </c>
      <c r="AF24" s="29">
        <v>0</v>
      </c>
      <c r="AG24" s="16"/>
      <c r="AH24" s="65"/>
      <c r="AI24" s="65"/>
      <c r="AJ24" s="65"/>
      <c r="AK24" s="65"/>
      <c r="AL24" s="65"/>
      <c r="AO24" s="47">
        <v>41478</v>
      </c>
      <c r="AP24" t="s">
        <v>14</v>
      </c>
      <c r="AQ24">
        <f>L18</f>
        <v>-1</v>
      </c>
    </row>
    <row r="25" spans="1:43" ht="15.75" thickBot="1" x14ac:dyDescent="0.3">
      <c r="A25" s="221"/>
      <c r="B25" s="18" t="s">
        <v>12</v>
      </c>
      <c r="C25" s="22"/>
      <c r="D25" s="23"/>
      <c r="E25" s="120"/>
      <c r="F25" s="23"/>
      <c r="G25" s="23"/>
      <c r="H25" s="24"/>
      <c r="I25" s="22"/>
      <c r="J25" s="23"/>
      <c r="K25" s="23"/>
      <c r="L25" s="23"/>
      <c r="M25" s="23"/>
      <c r="N25" s="24"/>
      <c r="O25" s="22"/>
      <c r="P25" s="23"/>
      <c r="Q25" s="23"/>
      <c r="R25" s="23"/>
      <c r="S25" s="23"/>
      <c r="T25" s="24"/>
      <c r="U25" s="22"/>
      <c r="V25" s="23"/>
      <c r="W25" s="23"/>
      <c r="X25" s="23"/>
      <c r="Y25" s="23"/>
      <c r="Z25" s="24"/>
      <c r="AA25" s="20">
        <v>0</v>
      </c>
      <c r="AB25" s="20"/>
      <c r="AC25" s="20"/>
      <c r="AD25" s="20"/>
      <c r="AE25" s="20"/>
      <c r="AF25" s="21"/>
      <c r="AG25" s="16"/>
      <c r="AO25" s="47">
        <v>41491</v>
      </c>
      <c r="AP25" t="s">
        <v>15</v>
      </c>
      <c r="AQ25">
        <f>R15</f>
        <v>-0.8</v>
      </c>
    </row>
    <row r="26" spans="1:43" x14ac:dyDescent="0.25">
      <c r="C26">
        <f>C8*D9-C9*D8</f>
        <v>0</v>
      </c>
      <c r="D26">
        <f>D8*E9-D9*E8</f>
        <v>0</v>
      </c>
      <c r="E26">
        <f>E8*F9-E9*F8</f>
        <v>0</v>
      </c>
      <c r="F26">
        <f>F8*G9-F9*G8</f>
        <v>0</v>
      </c>
      <c r="G26">
        <f>G8*H9-G9*H8</f>
        <v>0</v>
      </c>
      <c r="H26">
        <f>H8*C9-H9*C8</f>
        <v>0</v>
      </c>
      <c r="I26">
        <f>I8*J9-I9*J8</f>
        <v>0</v>
      </c>
      <c r="J26">
        <f>J8*K9-J9*K8</f>
        <v>0</v>
      </c>
      <c r="K26">
        <f>K8*L9-K9*L8</f>
        <v>0</v>
      </c>
      <c r="L26">
        <f>L8*M9-L9*M8</f>
        <v>0</v>
      </c>
      <c r="M26">
        <f>M8*N9-M9*N8</f>
        <v>0</v>
      </c>
      <c r="N26">
        <f>N8*I9-N9*I8</f>
        <v>0</v>
      </c>
      <c r="O26">
        <f>O8*P9-O9*P8</f>
        <v>0</v>
      </c>
      <c r="P26">
        <f>P8*Q9-P9*Q8</f>
        <v>0</v>
      </c>
      <c r="Q26">
        <f>Q8*R9-Q9*R8</f>
        <v>0</v>
      </c>
      <c r="R26">
        <f>R8*S9-R9*S8</f>
        <v>0</v>
      </c>
      <c r="S26">
        <f>S8*T9-S9*T8</f>
        <v>0</v>
      </c>
      <c r="T26">
        <f>T8*O9-T9*O8</f>
        <v>0</v>
      </c>
      <c r="U26">
        <f>U8*V9-U9*V8</f>
        <v>0</v>
      </c>
      <c r="V26">
        <f>V8*W9-V9*W8</f>
        <v>0</v>
      </c>
      <c r="W26">
        <f>W8*X9-W9*X8</f>
        <v>0</v>
      </c>
      <c r="X26">
        <f>X8*Y9-X9*Y8</f>
        <v>0</v>
      </c>
      <c r="Y26">
        <f>Y8*Z9-Y9*Z8</f>
        <v>0</v>
      </c>
      <c r="Z26">
        <f>Z8*U9-Z9*U8</f>
        <v>0</v>
      </c>
      <c r="AA26">
        <f>AA8*AB9-AA9*AB8</f>
        <v>0.3</v>
      </c>
      <c r="AB26">
        <f>AB8*AC9-AB9*AC8</f>
        <v>0.2</v>
      </c>
      <c r="AC26">
        <f>AC8*AD9-AC9*AD8</f>
        <v>0.9</v>
      </c>
      <c r="AD26">
        <f>AD8*AE9-AD9*AE8</f>
        <v>0.15000000000000002</v>
      </c>
      <c r="AE26">
        <f>AE8*AF9-AE9*AF8</f>
        <v>0.36</v>
      </c>
      <c r="AF26">
        <f>AF8*AA9-AF9*AA8</f>
        <v>0</v>
      </c>
      <c r="AG26" s="64">
        <f>ABS(SUM(C26:H26))/2</f>
        <v>0</v>
      </c>
      <c r="AH26" s="64">
        <f t="shared" ref="AH26:AH31" si="2">ABS(SUM(I26:N26))/2</f>
        <v>0</v>
      </c>
      <c r="AI26" s="64">
        <f t="shared" ref="AI26:AI31" si="3">ABS(SUM(O26:T26))/2</f>
        <v>0</v>
      </c>
      <c r="AJ26" s="64">
        <f t="shared" ref="AJ26:AJ31" si="4">ABS(SUM(U26:Z26))/2</f>
        <v>0</v>
      </c>
      <c r="AK26" s="64">
        <f t="shared" ref="AK26:AK31" si="5">ABS(SUM(AA26:AF26))/2</f>
        <v>0.95499999999999985</v>
      </c>
      <c r="AO26" s="47">
        <v>41495</v>
      </c>
      <c r="AP26" t="s">
        <v>16</v>
      </c>
      <c r="AQ26">
        <f>X12</f>
        <v>-0.9</v>
      </c>
    </row>
    <row r="27" spans="1:43" x14ac:dyDescent="0.25">
      <c r="C27">
        <f>C11*D12-C12*D11</f>
        <v>0</v>
      </c>
      <c r="D27">
        <f>D11*E12-D12*E11</f>
        <v>0</v>
      </c>
      <c r="E27">
        <f>E11*F12-E12*F11</f>
        <v>0</v>
      </c>
      <c r="F27">
        <f>F11*G12-F12*G11</f>
        <v>0</v>
      </c>
      <c r="G27">
        <f>G11*H12-G12*H11</f>
        <v>0</v>
      </c>
      <c r="H27">
        <f>H11*C12-H12*C11</f>
        <v>0</v>
      </c>
      <c r="I27">
        <f>I11*J12-I12*J11</f>
        <v>0</v>
      </c>
      <c r="J27">
        <f>J11*K12-J12*K11</f>
        <v>0</v>
      </c>
      <c r="K27">
        <f>K11*L12-K12*L11</f>
        <v>0</v>
      </c>
      <c r="L27">
        <f>L11*M12-L12*M11</f>
        <v>0</v>
      </c>
      <c r="M27">
        <f>M11*N12-M12*N11</f>
        <v>0</v>
      </c>
      <c r="N27">
        <f>N11*I12-N12*I11</f>
        <v>0</v>
      </c>
      <c r="O27">
        <f>O11*P12-O12*P11</f>
        <v>0</v>
      </c>
      <c r="P27">
        <f>P11*Q12-P12*Q11</f>
        <v>0</v>
      </c>
      <c r="Q27">
        <f>Q11*R12-Q12*R11</f>
        <v>0</v>
      </c>
      <c r="R27">
        <f>R11*S12-R12*S11</f>
        <v>0</v>
      </c>
      <c r="S27">
        <f>S11*T12-S12*T11</f>
        <v>0</v>
      </c>
      <c r="T27">
        <f>T11*O12-T12*O11</f>
        <v>0</v>
      </c>
      <c r="U27">
        <f>U11*V12-U12*V11</f>
        <v>0.63</v>
      </c>
      <c r="V27">
        <f>V11*W12-V12*W11</f>
        <v>0</v>
      </c>
      <c r="W27">
        <f>W11*X12-W12*X11</f>
        <v>1.26</v>
      </c>
      <c r="X27">
        <f>X11*Y12-X12*Y11</f>
        <v>0</v>
      </c>
      <c r="Y27">
        <f>Y11*Z12-Y12*Z11</f>
        <v>0.63</v>
      </c>
      <c r="Z27">
        <f>Z11*U12-Z12*U11</f>
        <v>0</v>
      </c>
      <c r="AA27">
        <f>AA11*AB12-AA12*AB11</f>
        <v>0.81</v>
      </c>
      <c r="AB27">
        <f>AB11*AC12-AB12*AC11</f>
        <v>0</v>
      </c>
      <c r="AC27">
        <f>AC11*AD12-AC12*AD11</f>
        <v>1.62</v>
      </c>
      <c r="AD27">
        <f>AD11*AE12-AD12*AE11</f>
        <v>0</v>
      </c>
      <c r="AE27">
        <f>AE11*AF12-AE12*AF11</f>
        <v>0.81</v>
      </c>
      <c r="AF27">
        <f>AF11*AA12-AF12*AA11</f>
        <v>0</v>
      </c>
      <c r="AG27" s="64">
        <f t="shared" ref="AG27:AG31" si="6">ABS(SUM(C27:H27))/2</f>
        <v>0</v>
      </c>
      <c r="AH27" s="64">
        <f t="shared" si="2"/>
        <v>0</v>
      </c>
      <c r="AI27" s="64">
        <f t="shared" si="3"/>
        <v>0</v>
      </c>
      <c r="AJ27" s="64">
        <f t="shared" si="4"/>
        <v>1.26</v>
      </c>
      <c r="AK27" s="64">
        <f t="shared" si="5"/>
        <v>1.62</v>
      </c>
      <c r="AO27" s="47">
        <v>41516</v>
      </c>
      <c r="AP27" t="s">
        <v>17</v>
      </c>
      <c r="AQ27">
        <f>AD9</f>
        <v>-0.9</v>
      </c>
    </row>
    <row r="28" spans="1:43" x14ac:dyDescent="0.25">
      <c r="C28">
        <f>C14*D15-C15*D14</f>
        <v>0</v>
      </c>
      <c r="D28">
        <f>D14*E15-D15*E14</f>
        <v>0</v>
      </c>
      <c r="E28">
        <f>E14*F15-E15*F14</f>
        <v>0</v>
      </c>
      <c r="F28">
        <f>F14*G15-F15*G14</f>
        <v>0</v>
      </c>
      <c r="G28">
        <f>G14*H15-G15*H14</f>
        <v>0</v>
      </c>
      <c r="H28">
        <f>H14*C15-H15*C14</f>
        <v>0</v>
      </c>
      <c r="I28">
        <f>I14*J15-I15*J14</f>
        <v>0</v>
      </c>
      <c r="J28">
        <f>J14*K15-J15*K14</f>
        <v>0</v>
      </c>
      <c r="K28">
        <f>K14*L15-K15*L14</f>
        <v>0</v>
      </c>
      <c r="L28">
        <f>L14*M15-L15*M14</f>
        <v>0</v>
      </c>
      <c r="M28">
        <f>M14*N15-M15*N14</f>
        <v>0</v>
      </c>
      <c r="N28">
        <f>N14*I15-N15*I14</f>
        <v>0</v>
      </c>
      <c r="O28">
        <f>O14*P15-O15*P14</f>
        <v>0.64000000000000012</v>
      </c>
      <c r="P28">
        <f>P14*Q15-P15*Q14</f>
        <v>0</v>
      </c>
      <c r="Q28">
        <f>Q14*R15-Q15*R14</f>
        <v>1.3600000000000003</v>
      </c>
      <c r="R28">
        <f>R14*S15-R15*S14</f>
        <v>0</v>
      </c>
      <c r="S28">
        <f>S14*T15-S15*T14</f>
        <v>0.72000000000000008</v>
      </c>
      <c r="T28">
        <f>T14*O15-T15*O14</f>
        <v>0</v>
      </c>
      <c r="U28">
        <f>U14*V15-U15*V14</f>
        <v>1</v>
      </c>
      <c r="V28">
        <f>V14*W15-V15*W14</f>
        <v>0.23000000000000009</v>
      </c>
      <c r="W28">
        <f>W14*X15-W15*X14</f>
        <v>1.5950000000000002</v>
      </c>
      <c r="X28">
        <f>X14*Y15-X15*Y14</f>
        <v>0.35</v>
      </c>
      <c r="Y28">
        <f>Y14*Z15-Y15*Z14</f>
        <v>0.88000000000000012</v>
      </c>
      <c r="Z28">
        <f>Z14*U15-Z15*U14</f>
        <v>0</v>
      </c>
      <c r="AA28">
        <f>AA14*AB15-AA15*AB14</f>
        <v>1.2</v>
      </c>
      <c r="AB28">
        <f>AB14*AC15-AB15*AC14</f>
        <v>0.21000000000000019</v>
      </c>
      <c r="AC28">
        <f>AC14*AD15-AC15*AD14</f>
        <v>2.2000000000000002</v>
      </c>
      <c r="AD28">
        <f>AD14*AE15-AD15*AE14</f>
        <v>0.32000000000000006</v>
      </c>
      <c r="AE28">
        <f>AE14*AF15-AE15*AF14</f>
        <v>1.3</v>
      </c>
      <c r="AF28">
        <f>AF14*AA15-AF15*AA14</f>
        <v>0</v>
      </c>
      <c r="AG28" s="64">
        <f t="shared" si="6"/>
        <v>0</v>
      </c>
      <c r="AH28" s="64">
        <f t="shared" si="2"/>
        <v>0</v>
      </c>
      <c r="AI28" s="64">
        <f t="shared" si="3"/>
        <v>1.3600000000000003</v>
      </c>
      <c r="AJ28" s="64">
        <f t="shared" si="4"/>
        <v>2.0275000000000003</v>
      </c>
      <c r="AK28" s="64">
        <f t="shared" si="5"/>
        <v>2.6150000000000002</v>
      </c>
      <c r="AO28" s="47"/>
      <c r="AP28" t="s">
        <v>156</v>
      </c>
      <c r="AQ28">
        <f>AVERAGE(AQ23:AQ27)</f>
        <v>-0.85</v>
      </c>
    </row>
    <row r="29" spans="1:43" x14ac:dyDescent="0.25">
      <c r="C29">
        <f>C17*D18-C18*D17</f>
        <v>0</v>
      </c>
      <c r="D29">
        <f>D17*E18-D18*E17</f>
        <v>0</v>
      </c>
      <c r="E29">
        <f>E17*F18-E18*F17</f>
        <v>0</v>
      </c>
      <c r="F29">
        <f>F17*G18-F18*G17</f>
        <v>0</v>
      </c>
      <c r="G29">
        <f>G17*H18-G18*H17</f>
        <v>0</v>
      </c>
      <c r="H29">
        <f>H17*C18-H18*C17</f>
        <v>0</v>
      </c>
      <c r="I29">
        <f>I17*J18-I18*J17</f>
        <v>0.7</v>
      </c>
      <c r="J29">
        <f>J17*K18-J18*K17</f>
        <v>0</v>
      </c>
      <c r="K29">
        <f>K17*L18-K18*L17</f>
        <v>1.5499999999999998</v>
      </c>
      <c r="L29">
        <f>L17*M18-L18*M17</f>
        <v>0</v>
      </c>
      <c r="M29">
        <f>M17*N18-M18*N17</f>
        <v>0.85</v>
      </c>
      <c r="N29">
        <f>N17*I18-N18*I17</f>
        <v>0</v>
      </c>
      <c r="O29">
        <f>O17*P18-O18*P17</f>
        <v>0.8</v>
      </c>
      <c r="P29">
        <f>P17*Q18-P18*Q17</f>
        <v>1.5000000000000002</v>
      </c>
      <c r="Q29">
        <f>Q17*R18-Q18*R17</f>
        <v>2.4700000000000002</v>
      </c>
      <c r="R29">
        <f>R17*S18-R18*S17</f>
        <v>1.2199999999999998</v>
      </c>
      <c r="S29">
        <f>S17*T18-S18*T17</f>
        <v>1.02</v>
      </c>
      <c r="T29">
        <f>T17*O18-T18*O17</f>
        <v>0</v>
      </c>
      <c r="U29">
        <f>U17*V18-U18*V17</f>
        <v>1.44</v>
      </c>
      <c r="V29">
        <f>V17*W18-V18*W17</f>
        <v>1.62</v>
      </c>
      <c r="W29">
        <f>W17*X18-W18*X17</f>
        <v>4.08</v>
      </c>
      <c r="X29">
        <f>X17*Y18-X18*Y17</f>
        <v>1.7399999999999998</v>
      </c>
      <c r="Y29">
        <f>Y17*Z18-Y18*Z17</f>
        <v>1.5</v>
      </c>
      <c r="Z29">
        <f>Z17*U18-Z18*U17</f>
        <v>0</v>
      </c>
      <c r="AA29">
        <f>AA17*AB18-AA18*AB17</f>
        <v>5.25</v>
      </c>
      <c r="AB29">
        <f>AB17*AC18-AB18*AC17</f>
        <v>2.1899999999999995</v>
      </c>
      <c r="AC29">
        <f>AC17*AD18-AC18*AD17</f>
        <v>9</v>
      </c>
      <c r="AD29">
        <f>AD17*AE18-AD18*AE17</f>
        <v>2.37</v>
      </c>
      <c r="AE29">
        <f>AE17*AF18-AE18*AF17</f>
        <v>5.4</v>
      </c>
      <c r="AF29">
        <f>AF17*AA18-AF18*AA17</f>
        <v>0</v>
      </c>
      <c r="AG29" s="64">
        <f t="shared" si="6"/>
        <v>0</v>
      </c>
      <c r="AH29" s="64">
        <f t="shared" si="2"/>
        <v>1.55</v>
      </c>
      <c r="AI29" s="64">
        <f t="shared" si="3"/>
        <v>3.5049999999999999</v>
      </c>
      <c r="AJ29" s="64">
        <f t="shared" si="4"/>
        <v>5.19</v>
      </c>
      <c r="AK29" s="64">
        <f t="shared" si="5"/>
        <v>12.105</v>
      </c>
    </row>
    <row r="30" spans="1:43" x14ac:dyDescent="0.25">
      <c r="C30">
        <f>C20*D21-C21*D20</f>
        <v>7.2000000000000064E-2</v>
      </c>
      <c r="D30">
        <f>D20*E21-D21*E20</f>
        <v>3.2000000000000028E-2</v>
      </c>
      <c r="E30">
        <f>E20*F21-E21*F20</f>
        <v>0.66300000000000014</v>
      </c>
      <c r="F30">
        <f>F20*G21-F21*G20</f>
        <v>1.0105</v>
      </c>
      <c r="G30">
        <f>G20*H21-G21*H20</f>
        <v>1.1024999999999998</v>
      </c>
      <c r="H30">
        <f>H20*C21-H21*C20</f>
        <v>0</v>
      </c>
      <c r="I30">
        <f>I20*J21-I21*J20</f>
        <v>0.16000000000000014</v>
      </c>
      <c r="J30">
        <f>J20*K21-J21*K20</f>
        <v>9.6000000000000002E-2</v>
      </c>
      <c r="K30">
        <f>K20*L21-K21*L20</f>
        <v>1.216</v>
      </c>
      <c r="L30">
        <f>L20*M21-L21*M20</f>
        <v>1.296</v>
      </c>
      <c r="M30">
        <f>M20*N21-M21*N20</f>
        <v>1.0289999999999999</v>
      </c>
      <c r="N30">
        <f>N20*I21-N21*I20</f>
        <v>0</v>
      </c>
      <c r="O30">
        <f>O20*P21-O21*P20</f>
        <v>0.36300000000000004</v>
      </c>
      <c r="P30">
        <f>P20*Q21-P21*Q20</f>
        <v>0.23399999999999993</v>
      </c>
      <c r="Q30">
        <f>Q20*R21-Q21*R20</f>
        <v>1.6919999999999997</v>
      </c>
      <c r="R30">
        <f>R20*S21-R21*S20</f>
        <v>1.4962</v>
      </c>
      <c r="S30">
        <f>S20*T21-S21*T20</f>
        <v>1.2349999999999999</v>
      </c>
      <c r="T30">
        <f>T20*O21-T21*O20</f>
        <v>0</v>
      </c>
      <c r="U30">
        <f>U20*V21-U21*V20</f>
        <v>1.7442</v>
      </c>
      <c r="V30">
        <f>V20*W21-V21*W20</f>
        <v>0.63100000000000023</v>
      </c>
      <c r="W30">
        <f>W20*X21-W21*X20</f>
        <v>2.96</v>
      </c>
      <c r="X30">
        <f>X20*Y21-X21*Y20</f>
        <v>3.0600000000000005</v>
      </c>
      <c r="Y30">
        <f>Y20*Z21-Y21*Z20</f>
        <v>1.75</v>
      </c>
      <c r="Z30">
        <f>Z20*U21-Z21*U20</f>
        <v>0</v>
      </c>
      <c r="AA30">
        <f>AA20*AB21-AA21*AB20</f>
        <v>1.68</v>
      </c>
      <c r="AB30">
        <f>AB20*AC21-AB21*AC20</f>
        <v>4.080000000000001</v>
      </c>
      <c r="AC30">
        <f>AC20*AD21-AC21*AD20</f>
        <v>3.6</v>
      </c>
      <c r="AD30">
        <f>AD20*AE21-AD21*AE20</f>
        <v>3.7</v>
      </c>
      <c r="AE30">
        <f>AE20*AF21-AE21*AF20</f>
        <v>2.16</v>
      </c>
      <c r="AF30">
        <f>AF20*AA21-AF21*AA20</f>
        <v>0</v>
      </c>
      <c r="AG30" s="64">
        <f t="shared" si="6"/>
        <v>1.44</v>
      </c>
      <c r="AH30" s="64">
        <f t="shared" si="2"/>
        <v>1.8984999999999999</v>
      </c>
      <c r="AI30" s="64">
        <f t="shared" si="3"/>
        <v>2.5100999999999996</v>
      </c>
      <c r="AJ30" s="64">
        <f t="shared" si="4"/>
        <v>5.0726000000000004</v>
      </c>
      <c r="AK30" s="64">
        <f t="shared" si="5"/>
        <v>7.6100000000000012</v>
      </c>
    </row>
    <row r="31" spans="1:43" x14ac:dyDescent="0.25">
      <c r="C31">
        <f>C23*D24-C24*D23</f>
        <v>0.50700000000000001</v>
      </c>
      <c r="D31">
        <f>D23*E24-D24*E23</f>
        <v>0.22750000000000004</v>
      </c>
      <c r="E31">
        <f>E23*F24-E24*F23</f>
        <v>0.97500000000000009</v>
      </c>
      <c r="F31">
        <f>F23*G24-F24*G23</f>
        <v>0.33749999999999991</v>
      </c>
      <c r="G31">
        <f>G23*H24-G24*H23</f>
        <v>0.97500000000000009</v>
      </c>
      <c r="H31">
        <f>H23*C24-H24*C23</f>
        <v>0</v>
      </c>
      <c r="I31">
        <f>I23*J24-I24*J23</f>
        <v>0.39150000000000007</v>
      </c>
      <c r="J31">
        <f>J23*K24-J24*K23</f>
        <v>0.43199999999999994</v>
      </c>
      <c r="K31">
        <f>K23*L24-K24*L23</f>
        <v>1.105</v>
      </c>
      <c r="L31">
        <f>L23*M24-L24*M23</f>
        <v>0.92249999999999999</v>
      </c>
      <c r="M31">
        <f>M23*N24-M24*N23</f>
        <v>0.73499999999999999</v>
      </c>
      <c r="N31">
        <f>N23*I24-N24*I23</f>
        <v>0</v>
      </c>
      <c r="O31">
        <f>O23*P24-O24*P23</f>
        <v>0.5335000000000002</v>
      </c>
      <c r="P31">
        <f>P23*Q24-P24*Q23</f>
        <v>0.56699999999999995</v>
      </c>
      <c r="Q31">
        <f>Q23*R24-Q24*R23</f>
        <v>1.968</v>
      </c>
      <c r="R31">
        <f>R23*S24-R24*S23</f>
        <v>1.49</v>
      </c>
      <c r="S31">
        <f>S23*T24-S24*T23</f>
        <v>0.93500000000000005</v>
      </c>
      <c r="T31">
        <f>T23*O24-T24*O23</f>
        <v>0</v>
      </c>
      <c r="U31">
        <f>U23*V24-U24*V23</f>
        <v>3.0623999999999998</v>
      </c>
      <c r="V31">
        <f>V23*W24-V24*W23</f>
        <v>1.0294999999999999</v>
      </c>
      <c r="W31">
        <f>W23*X24-W24*X23</f>
        <v>4.0110000000000001</v>
      </c>
      <c r="X31">
        <f>X23*Y24-X24*Y23</f>
        <v>2.0599999999999996</v>
      </c>
      <c r="Y31">
        <f>Y23*Z24-Y24*Z23</f>
        <v>3.6</v>
      </c>
      <c r="Z31">
        <f>Z23*U24-Z24*U23</f>
        <v>0</v>
      </c>
      <c r="AA31">
        <f>AA23*AB24-AA24*AB23</f>
        <v>1.7999999999999998</v>
      </c>
      <c r="AB31">
        <f>AB23*AC24-AB24*AC23</f>
        <v>4.1400000000000006</v>
      </c>
      <c r="AC31">
        <f>AC23*AD24-AC24*AD23</f>
        <v>5.4</v>
      </c>
      <c r="AD31">
        <f>AD23*AE24-AD24*AE23</f>
        <v>3.84</v>
      </c>
      <c r="AE31">
        <f>AE23*AF24-AE24*AF23</f>
        <v>2.4000000000000004</v>
      </c>
      <c r="AF31">
        <f>AF23*AA24-AF24*AA23</f>
        <v>0</v>
      </c>
      <c r="AG31" s="64">
        <f t="shared" si="6"/>
        <v>1.5110000000000001</v>
      </c>
      <c r="AH31" s="64">
        <f t="shared" si="2"/>
        <v>1.7929999999999999</v>
      </c>
      <c r="AI31" s="64">
        <f t="shared" si="3"/>
        <v>2.7467500000000005</v>
      </c>
      <c r="AJ31" s="64">
        <f t="shared" si="4"/>
        <v>6.8814500000000001</v>
      </c>
      <c r="AK31" s="64">
        <f t="shared" si="5"/>
        <v>8.7899999999999991</v>
      </c>
    </row>
    <row r="33" spans="1:7" x14ac:dyDescent="0.25">
      <c r="A33" s="85"/>
      <c r="B33" s="47"/>
      <c r="C33" s="47">
        <f>F3</f>
        <v>41453</v>
      </c>
      <c r="D33" s="47">
        <f>K3</f>
        <v>41478</v>
      </c>
      <c r="E33" s="47">
        <f>Q3</f>
        <v>41491</v>
      </c>
      <c r="F33" s="47">
        <f>W3</f>
        <v>41499</v>
      </c>
      <c r="G33" s="47">
        <f>AC3</f>
        <v>41516</v>
      </c>
    </row>
    <row r="34" spans="1:7" x14ac:dyDescent="0.25">
      <c r="A34" t="s">
        <v>9</v>
      </c>
      <c r="B34" t="s">
        <v>10</v>
      </c>
      <c r="C34">
        <f>H20-C20</f>
        <v>2.61</v>
      </c>
      <c r="D34">
        <f>N20-I20</f>
        <v>2.77</v>
      </c>
      <c r="E34">
        <f>T20-O20</f>
        <v>3.13</v>
      </c>
      <c r="F34">
        <f>Z17-U17</f>
        <v>4.9000000000000004</v>
      </c>
      <c r="G34">
        <f>AF17-AA17</f>
        <v>7.1</v>
      </c>
    </row>
    <row r="35" spans="1:7" x14ac:dyDescent="0.25">
      <c r="B35" t="s">
        <v>11</v>
      </c>
      <c r="C35">
        <f>E21</f>
        <v>-0.65</v>
      </c>
      <c r="D35">
        <f>K18</f>
        <v>-1</v>
      </c>
      <c r="E35">
        <f>Q18</f>
        <v>-1.3</v>
      </c>
      <c r="F35">
        <f>W18</f>
        <v>-1.2</v>
      </c>
      <c r="G35">
        <f>AD18</f>
        <v>-1.8</v>
      </c>
    </row>
    <row r="36" spans="1:7" x14ac:dyDescent="0.25">
      <c r="B36" t="s">
        <v>12</v>
      </c>
      <c r="C36">
        <f>C22</f>
        <v>8.1999999999999993</v>
      </c>
      <c r="D36">
        <f>I22+I19</f>
        <v>18.2</v>
      </c>
      <c r="E36">
        <f>O22+O19+O16</f>
        <v>19.2</v>
      </c>
      <c r="F36">
        <f>U22+U19+U16+U13</f>
        <v>29.2</v>
      </c>
      <c r="G36">
        <f>F36+AA10</f>
        <v>44.2</v>
      </c>
    </row>
  </sheetData>
  <mergeCells count="9">
    <mergeCell ref="A17:A19"/>
    <mergeCell ref="A20:A22"/>
    <mergeCell ref="A23:A25"/>
    <mergeCell ref="AH2:AL2"/>
    <mergeCell ref="AM2:AQ2"/>
    <mergeCell ref="A5:A7"/>
    <mergeCell ref="A8:A10"/>
    <mergeCell ref="A11:A13"/>
    <mergeCell ref="A14:A16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2"/>
  <sheetViews>
    <sheetView topLeftCell="Y1" zoomScale="75" zoomScaleNormal="75" workbookViewId="0">
      <selection activeCell="AS5" sqref="AS5:AU8"/>
    </sheetView>
  </sheetViews>
  <sheetFormatPr defaultRowHeight="15" x14ac:dyDescent="0.25"/>
  <cols>
    <col min="2" max="2" width="12" bestFit="1" customWidth="1"/>
    <col min="3" max="4" width="10.85546875" bestFit="1" customWidth="1"/>
    <col min="5" max="5" width="9.7109375" bestFit="1" customWidth="1"/>
    <col min="6" max="7" width="10.85546875" bestFit="1" customWidth="1"/>
    <col min="8" max="8" width="12" bestFit="1" customWidth="1"/>
    <col min="10" max="10" width="12" bestFit="1" customWidth="1"/>
    <col min="11" max="11" width="9.7109375" bestFit="1" customWidth="1"/>
    <col min="12" max="16" width="9.28515625" bestFit="1" customWidth="1"/>
    <col min="17" max="17" width="9.7109375" bestFit="1" customWidth="1"/>
    <col min="18" max="22" width="9.28515625" bestFit="1" customWidth="1"/>
    <col min="23" max="23" width="9.7109375" bestFit="1" customWidth="1"/>
    <col min="24" max="28" width="9.28515625" bestFit="1" customWidth="1"/>
    <col min="29" max="29" width="10.85546875" bestFit="1" customWidth="1"/>
    <col min="30" max="32" width="9.28515625" bestFit="1" customWidth="1"/>
    <col min="42" max="42" width="10.85546875" bestFit="1" customWidth="1"/>
  </cols>
  <sheetData>
    <row r="1" spans="1:54" x14ac:dyDescent="0.25"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102">
        <v>41478</v>
      </c>
      <c r="AJ1" s="47">
        <v>41491</v>
      </c>
      <c r="AK1" s="47">
        <v>41495</v>
      </c>
      <c r="AL1" s="47">
        <v>41517</v>
      </c>
    </row>
    <row r="2" spans="1:54" ht="15.75" thickBot="1" x14ac:dyDescent="0.3"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</row>
    <row r="3" spans="1:54" x14ac:dyDescent="0.25">
      <c r="F3" s="47">
        <v>41453</v>
      </c>
      <c r="I3" s="1"/>
      <c r="J3" s="2"/>
      <c r="K3" s="102">
        <v>41478</v>
      </c>
      <c r="L3" s="2"/>
      <c r="M3" s="2"/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4">
        <v>41478</v>
      </c>
      <c r="AJ3" s="105">
        <v>41491</v>
      </c>
      <c r="AK3" s="105">
        <v>41495</v>
      </c>
      <c r="AL3" s="106">
        <v>41516</v>
      </c>
      <c r="AM3" s="103">
        <v>41453</v>
      </c>
      <c r="AN3" s="104">
        <v>41478</v>
      </c>
      <c r="AO3" s="105">
        <v>41491</v>
      </c>
      <c r="AP3" s="105">
        <v>41495</v>
      </c>
      <c r="AQ3" s="106" t="s">
        <v>2</v>
      </c>
      <c r="AR3" s="1"/>
      <c r="AS3" s="1"/>
      <c r="AT3" s="1"/>
      <c r="AU3" s="1"/>
      <c r="AV3" s="1"/>
      <c r="AW3" s="1"/>
      <c r="AX3" t="s">
        <v>50</v>
      </c>
      <c r="AY3" t="s">
        <v>42</v>
      </c>
      <c r="AZ3" t="s">
        <v>54</v>
      </c>
      <c r="BA3" t="s">
        <v>55</v>
      </c>
      <c r="BB3" t="s">
        <v>59</v>
      </c>
    </row>
    <row r="4" spans="1:54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2" t="s">
        <v>35</v>
      </c>
      <c r="AM4" s="70" t="s">
        <v>37</v>
      </c>
      <c r="AN4" s="71" t="s">
        <v>38</v>
      </c>
      <c r="AO4" s="71" t="s">
        <v>39</v>
      </c>
      <c r="AP4" s="71" t="s">
        <v>40</v>
      </c>
      <c r="AQ4" s="72" t="s">
        <v>41</v>
      </c>
      <c r="AT4" s="197" t="s">
        <v>10</v>
      </c>
      <c r="AU4" s="197" t="s">
        <v>12</v>
      </c>
      <c r="AX4">
        <v>0</v>
      </c>
      <c r="AZ4">
        <v>-5.0999999999999996</v>
      </c>
      <c r="BA4">
        <v>11.5</v>
      </c>
    </row>
    <row r="5" spans="1:54" x14ac:dyDescent="0.25">
      <c r="A5" s="219" t="s">
        <v>70</v>
      </c>
      <c r="B5" s="5" t="s">
        <v>10</v>
      </c>
      <c r="C5" s="121"/>
      <c r="D5" s="122"/>
      <c r="E5" s="122"/>
      <c r="F5" s="122"/>
      <c r="G5" s="122"/>
      <c r="H5" s="123"/>
      <c r="I5" s="121"/>
      <c r="J5" s="122"/>
      <c r="K5" s="122"/>
      <c r="L5" s="122"/>
      <c r="M5" s="122"/>
      <c r="N5" s="123"/>
      <c r="O5" s="121"/>
      <c r="P5" s="122"/>
      <c r="Q5" s="122"/>
      <c r="R5" s="122"/>
      <c r="S5" s="122"/>
      <c r="T5" s="123"/>
      <c r="U5" s="121"/>
      <c r="V5" s="122"/>
      <c r="W5" s="122"/>
      <c r="X5" s="122"/>
      <c r="Y5" s="122"/>
      <c r="Z5" s="123"/>
      <c r="AA5" s="10">
        <v>-0.75</v>
      </c>
      <c r="AB5" s="10">
        <v>-0.75</v>
      </c>
      <c r="AC5" s="10">
        <v>-0.75</v>
      </c>
      <c r="AD5" s="10">
        <v>0.75</v>
      </c>
      <c r="AE5" s="10">
        <v>0.75</v>
      </c>
      <c r="AF5" s="11">
        <v>0.75</v>
      </c>
      <c r="AG5" s="46" t="s">
        <v>15</v>
      </c>
      <c r="AH5">
        <f t="shared" ref="AH5:AL8" si="0">AG18</f>
        <v>0</v>
      </c>
      <c r="AI5">
        <f t="shared" si="0"/>
        <v>0</v>
      </c>
      <c r="AJ5">
        <f t="shared" si="0"/>
        <v>0</v>
      </c>
      <c r="AK5">
        <f t="shared" si="0"/>
        <v>0</v>
      </c>
      <c r="AL5">
        <f t="shared" si="0"/>
        <v>2.25</v>
      </c>
      <c r="AM5" s="78"/>
      <c r="AN5" s="49"/>
      <c r="AO5" s="49"/>
      <c r="AP5" s="49"/>
      <c r="AQ5" s="142">
        <f>(AL6+AL5)/2*AA7</f>
        <v>11.999000000000001</v>
      </c>
      <c r="AS5" s="206" t="s">
        <v>15</v>
      </c>
      <c r="AT5">
        <f>AF5-AA5</f>
        <v>1.5</v>
      </c>
      <c r="AU5">
        <f>AA7</f>
        <v>2.6</v>
      </c>
      <c r="AX5">
        <v>2.4</v>
      </c>
      <c r="AY5" s="100">
        <v>99.397579792000016</v>
      </c>
      <c r="AZ5">
        <v>-5.0999999999999996</v>
      </c>
      <c r="BA5">
        <v>11.6</v>
      </c>
    </row>
    <row r="6" spans="1:54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4"/>
      <c r="J6" s="125"/>
      <c r="K6" s="125"/>
      <c r="L6" s="125"/>
      <c r="M6" s="125"/>
      <c r="N6" s="126"/>
      <c r="O6" s="124"/>
      <c r="P6" s="125"/>
      <c r="Q6" s="125"/>
      <c r="R6" s="125"/>
      <c r="S6" s="125"/>
      <c r="T6" s="126"/>
      <c r="U6" s="124"/>
      <c r="V6" s="125"/>
      <c r="W6" s="125"/>
      <c r="X6" s="125"/>
      <c r="Y6" s="125"/>
      <c r="Z6" s="126"/>
      <c r="AA6" s="16">
        <v>0</v>
      </c>
      <c r="AB6" s="16">
        <v>-1.5</v>
      </c>
      <c r="AC6" s="16">
        <v>-1.5</v>
      </c>
      <c r="AD6" s="16">
        <v>-1.5</v>
      </c>
      <c r="AE6" s="16">
        <v>-1.5</v>
      </c>
      <c r="AF6" s="17">
        <v>0</v>
      </c>
      <c r="AG6" s="16" t="s">
        <v>14</v>
      </c>
      <c r="AH6">
        <f t="shared" si="0"/>
        <v>0</v>
      </c>
      <c r="AI6">
        <f t="shared" si="0"/>
        <v>0</v>
      </c>
      <c r="AJ6">
        <f t="shared" si="0"/>
        <v>0</v>
      </c>
      <c r="AK6">
        <f t="shared" si="0"/>
        <v>4.6150000000000002</v>
      </c>
      <c r="AL6">
        <f t="shared" si="0"/>
        <v>6.9799999999999995</v>
      </c>
      <c r="AM6" s="78"/>
      <c r="AN6" s="49"/>
      <c r="AO6" s="49"/>
      <c r="AP6" s="82">
        <f>(AK6+AK7)/2*$AA$10</f>
        <v>23.056000000000004</v>
      </c>
      <c r="AQ6" s="82">
        <f>(AL6+AL7)/2*$AA$10</f>
        <v>40.271000000000001</v>
      </c>
      <c r="AS6" s="16" t="s">
        <v>14</v>
      </c>
      <c r="AT6">
        <f>AF8-AA8</f>
        <v>4.8</v>
      </c>
      <c r="AU6">
        <f>AA10</f>
        <v>4.4000000000000004</v>
      </c>
      <c r="AX6">
        <v>4.9000000000000004</v>
      </c>
      <c r="AY6" s="100">
        <v>97.639239366666658</v>
      </c>
      <c r="AZ6">
        <v>-4.7</v>
      </c>
      <c r="BA6">
        <v>9</v>
      </c>
      <c r="BB6">
        <v>-2.0099999999999998</v>
      </c>
    </row>
    <row r="7" spans="1:54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7"/>
      <c r="J7" s="118"/>
      <c r="K7" s="118"/>
      <c r="L7" s="118"/>
      <c r="M7" s="118"/>
      <c r="N7" s="119"/>
      <c r="O7" s="117"/>
      <c r="P7" s="118"/>
      <c r="Q7" s="118"/>
      <c r="R7" s="118"/>
      <c r="S7" s="118"/>
      <c r="T7" s="119"/>
      <c r="U7" s="117"/>
      <c r="V7" s="118"/>
      <c r="W7" s="118"/>
      <c r="X7" s="118"/>
      <c r="Y7" s="118"/>
      <c r="Z7" s="119"/>
      <c r="AA7" s="25">
        <v>2.6</v>
      </c>
      <c r="AB7" s="25"/>
      <c r="AC7" s="25"/>
      <c r="AD7" s="25"/>
      <c r="AE7" s="25"/>
      <c r="AF7" s="26"/>
      <c r="AG7" s="16" t="s">
        <v>13</v>
      </c>
      <c r="AH7" s="64">
        <f t="shared" si="0"/>
        <v>3.65</v>
      </c>
      <c r="AI7" s="64">
        <f t="shared" si="0"/>
        <v>5.1792999999999996</v>
      </c>
      <c r="AJ7" s="64">
        <f t="shared" si="0"/>
        <v>5.0730000000000004</v>
      </c>
      <c r="AK7" s="64">
        <f t="shared" si="0"/>
        <v>5.8650000000000002</v>
      </c>
      <c r="AL7" s="64">
        <f t="shared" si="0"/>
        <v>11.324999999999999</v>
      </c>
      <c r="AM7" s="73">
        <f>(AH7+AH8)/2*$AA$13</f>
        <v>4.5579000000000001</v>
      </c>
      <c r="AN7" s="82">
        <f>(AI7+AI8)/2*$AA$13</f>
        <v>6.2112299999999987</v>
      </c>
      <c r="AO7" s="82">
        <f>(AJ7+AJ8)/2*$AA$13</f>
        <v>8.5713000000000008</v>
      </c>
      <c r="AP7" s="82">
        <f>(AK7+AK8)/2*$AA$13</f>
        <v>9.33</v>
      </c>
      <c r="AQ7" s="83">
        <f>(AL7+AL8)/2*$AA$13</f>
        <v>14.696999999999997</v>
      </c>
      <c r="AS7" s="16" t="s">
        <v>13</v>
      </c>
      <c r="AT7">
        <f>AF11-AA11</f>
        <v>6.2</v>
      </c>
      <c r="AU7">
        <f>AA13</f>
        <v>1.2</v>
      </c>
      <c r="AX7">
        <v>7.4</v>
      </c>
      <c r="AY7" s="100">
        <v>100.22718749999999</v>
      </c>
      <c r="AZ7">
        <v>-4.7</v>
      </c>
      <c r="BA7">
        <v>12</v>
      </c>
      <c r="BB7">
        <v>-2.42</v>
      </c>
    </row>
    <row r="8" spans="1:54" x14ac:dyDescent="0.25">
      <c r="A8" s="219" t="s">
        <v>69</v>
      </c>
      <c r="B8" s="12" t="s">
        <v>10</v>
      </c>
      <c r="C8" s="114"/>
      <c r="D8" s="113"/>
      <c r="E8" s="113"/>
      <c r="F8" s="113"/>
      <c r="G8" s="113"/>
      <c r="H8" s="115"/>
      <c r="I8" s="127"/>
      <c r="J8" s="116"/>
      <c r="K8" s="116"/>
      <c r="L8" s="116"/>
      <c r="M8" s="116"/>
      <c r="N8" s="129"/>
      <c r="O8" s="129"/>
      <c r="P8" s="129"/>
      <c r="Q8" s="129"/>
      <c r="R8" s="129"/>
      <c r="S8" s="129"/>
      <c r="T8" s="129"/>
      <c r="U8" s="50">
        <v>-1.75</v>
      </c>
      <c r="V8" s="50">
        <v>-1.75</v>
      </c>
      <c r="W8" s="50">
        <v>-1.75</v>
      </c>
      <c r="X8" s="50">
        <v>1.8</v>
      </c>
      <c r="Y8" s="50">
        <v>1.8</v>
      </c>
      <c r="Z8" s="51">
        <v>1.8</v>
      </c>
      <c r="AA8" s="16">
        <v>-2.4</v>
      </c>
      <c r="AB8" s="111">
        <v>-2.2000000000000002</v>
      </c>
      <c r="AC8" s="111">
        <v>-0.8</v>
      </c>
      <c r="AD8" s="111">
        <v>0.8</v>
      </c>
      <c r="AE8" s="111">
        <v>2.2000000000000002</v>
      </c>
      <c r="AF8" s="29">
        <v>2.4</v>
      </c>
      <c r="AG8" s="16" t="s">
        <v>9</v>
      </c>
      <c r="AH8" s="64">
        <f t="shared" si="0"/>
        <v>3.9465000000000003</v>
      </c>
      <c r="AI8" s="64">
        <f t="shared" si="0"/>
        <v>5.1727499999999997</v>
      </c>
      <c r="AJ8" s="64">
        <f t="shared" si="0"/>
        <v>9.2125000000000004</v>
      </c>
      <c r="AK8" s="64">
        <f t="shared" si="0"/>
        <v>9.6850000000000005</v>
      </c>
      <c r="AL8" s="64">
        <f t="shared" si="0"/>
        <v>13.169999999999998</v>
      </c>
      <c r="AS8" s="16" t="s">
        <v>9</v>
      </c>
      <c r="AT8">
        <f>AF14-AA14</f>
        <v>6.7</v>
      </c>
      <c r="AY8" s="100"/>
    </row>
    <row r="9" spans="1:54" x14ac:dyDescent="0.25">
      <c r="A9" s="220"/>
      <c r="B9" s="12" t="s">
        <v>11</v>
      </c>
      <c r="C9" s="114"/>
      <c r="D9" s="113"/>
      <c r="E9" s="113"/>
      <c r="F9" s="113"/>
      <c r="G9" s="113"/>
      <c r="H9" s="115"/>
      <c r="I9" s="114"/>
      <c r="J9" s="113"/>
      <c r="K9" s="113"/>
      <c r="L9" s="113"/>
      <c r="M9" s="113"/>
      <c r="N9" s="115"/>
      <c r="O9" s="130"/>
      <c r="P9" s="130"/>
      <c r="Q9" s="130"/>
      <c r="R9" s="130"/>
      <c r="S9" s="130"/>
      <c r="T9" s="130"/>
      <c r="U9" s="3">
        <v>0</v>
      </c>
      <c r="V9" s="3">
        <v>-1.3</v>
      </c>
      <c r="W9" s="3">
        <v>-1.3</v>
      </c>
      <c r="X9" s="3">
        <v>-1.3</v>
      </c>
      <c r="Y9" s="3">
        <v>-1.3</v>
      </c>
      <c r="Z9" s="52">
        <v>0</v>
      </c>
      <c r="AA9" s="16">
        <v>0</v>
      </c>
      <c r="AB9" s="111">
        <v>-0.8</v>
      </c>
      <c r="AC9" s="111">
        <v>-1.9</v>
      </c>
      <c r="AD9" s="111">
        <v>-1.9</v>
      </c>
      <c r="AE9" s="111">
        <v>-0.8</v>
      </c>
      <c r="AF9" s="29">
        <v>0</v>
      </c>
      <c r="AG9" s="16" t="s">
        <v>86</v>
      </c>
      <c r="AH9" s="76">
        <f>SUM(AH5:AH8)</f>
        <v>7.5965000000000007</v>
      </c>
      <c r="AI9" s="76">
        <f>SUM(AI5:AI8)</f>
        <v>10.352049999999998</v>
      </c>
      <c r="AJ9" s="76">
        <f>SUM(AJ5:AJ8)</f>
        <v>14.285500000000001</v>
      </c>
      <c r="AK9" s="76">
        <f>SUM(AK5:AK8)</f>
        <v>20.164999999999999</v>
      </c>
      <c r="AL9" s="76">
        <f>SUM(AL5:AL8)</f>
        <v>33.724999999999994</v>
      </c>
      <c r="AM9" s="82">
        <f>SUM(AM6+AM7)</f>
        <v>4.5579000000000001</v>
      </c>
      <c r="AN9" s="82">
        <f>SUM(AN6+AN7)</f>
        <v>6.2112299999999987</v>
      </c>
      <c r="AO9" s="82">
        <f>SUM(AO6+AO7)</f>
        <v>8.5713000000000008</v>
      </c>
      <c r="AP9" s="82">
        <f>SUM(AP6+AP7)</f>
        <v>32.386000000000003</v>
      </c>
      <c r="AQ9" s="82">
        <f>SUM(AQ6+AQ7)</f>
        <v>54.967999999999996</v>
      </c>
      <c r="AR9">
        <v>52.80771005407999</v>
      </c>
      <c r="AY9" s="100"/>
    </row>
    <row r="10" spans="1:54" ht="15.75" thickBot="1" x14ac:dyDescent="0.3">
      <c r="A10" s="221"/>
      <c r="B10" s="12" t="s">
        <v>12</v>
      </c>
      <c r="C10" s="114"/>
      <c r="D10" s="113"/>
      <c r="E10" s="113"/>
      <c r="F10" s="113"/>
      <c r="G10" s="113"/>
      <c r="H10" s="115"/>
      <c r="I10" s="117"/>
      <c r="J10" s="118"/>
      <c r="K10" s="118"/>
      <c r="L10" s="118"/>
      <c r="M10" s="118"/>
      <c r="N10" s="119"/>
      <c r="O10" s="117"/>
      <c r="P10" s="118"/>
      <c r="Q10" s="118"/>
      <c r="R10" s="118"/>
      <c r="S10" s="118"/>
      <c r="T10" s="119"/>
      <c r="U10" s="22">
        <v>4.4000000000000004</v>
      </c>
      <c r="V10" s="23"/>
      <c r="W10" s="23"/>
      <c r="X10" s="23"/>
      <c r="Y10" s="23"/>
      <c r="Z10" s="24"/>
      <c r="AA10" s="16">
        <v>4.4000000000000004</v>
      </c>
      <c r="AB10" s="111"/>
      <c r="AC10" s="111"/>
      <c r="AD10" s="111"/>
      <c r="AE10" s="111"/>
      <c r="AF10" s="29"/>
      <c r="AL10" s="64">
        <f>AL9-AH9</f>
        <v>26.128499999999995</v>
      </c>
      <c r="AM10" s="73"/>
      <c r="AN10" s="82">
        <f>AN9-$AM9</f>
        <v>1.6533299999999986</v>
      </c>
      <c r="AO10" s="82">
        <f>AO9-$AM9</f>
        <v>4.0134000000000007</v>
      </c>
      <c r="AP10" s="82">
        <f>AP9-$AM9</f>
        <v>27.828100000000003</v>
      </c>
      <c r="AQ10" s="82">
        <f>AQ9-$AM9</f>
        <v>50.4101</v>
      </c>
      <c r="AR10">
        <v>50.098714346579989</v>
      </c>
      <c r="AY10" s="100"/>
    </row>
    <row r="11" spans="1:54" x14ac:dyDescent="0.25">
      <c r="A11" s="219" t="s">
        <v>68</v>
      </c>
      <c r="B11" s="5" t="s">
        <v>10</v>
      </c>
      <c r="C11">
        <v>-2.4499999999999997</v>
      </c>
      <c r="D11" s="36">
        <v>-2.2999999999999998</v>
      </c>
      <c r="E11" s="36">
        <v>-0.45</v>
      </c>
      <c r="F11" s="36">
        <v>0.5</v>
      </c>
      <c r="G11" s="36">
        <v>1.5</v>
      </c>
      <c r="H11" s="9">
        <v>1.7</v>
      </c>
      <c r="I11">
        <v>-2.5</v>
      </c>
      <c r="J11" s="31">
        <v>-2.2999999999999998</v>
      </c>
      <c r="K11" s="31">
        <v>-0.5</v>
      </c>
      <c r="L11" s="31">
        <v>0.54</v>
      </c>
      <c r="M11" s="31">
        <v>1.55</v>
      </c>
      <c r="N11">
        <v>1.7599999999999998</v>
      </c>
      <c r="O11">
        <v>-2.5</v>
      </c>
      <c r="P11" s="31">
        <v>-2.2999999999999998</v>
      </c>
      <c r="Q11" s="31">
        <v>-0.5</v>
      </c>
      <c r="R11" s="31">
        <v>0.6</v>
      </c>
      <c r="S11" s="31">
        <v>1.55</v>
      </c>
      <c r="T11">
        <v>1.7799999999999998</v>
      </c>
      <c r="U11">
        <v>-2.5</v>
      </c>
      <c r="V11" s="31">
        <v>-2.2999999999999998</v>
      </c>
      <c r="W11" s="31">
        <v>-0.6</v>
      </c>
      <c r="X11" s="31">
        <v>0.8</v>
      </c>
      <c r="Y11" s="31">
        <v>2.2000000000000002</v>
      </c>
      <c r="Z11">
        <v>2.4</v>
      </c>
      <c r="AA11" s="10">
        <v>-3.1</v>
      </c>
      <c r="AB11" s="34">
        <v>-2.9</v>
      </c>
      <c r="AC11" s="34">
        <v>-0.8</v>
      </c>
      <c r="AD11" s="34">
        <v>0.9</v>
      </c>
      <c r="AE11" s="34">
        <v>2.9</v>
      </c>
      <c r="AF11" s="8">
        <v>3.1</v>
      </c>
      <c r="AY11" s="100"/>
    </row>
    <row r="12" spans="1:54" x14ac:dyDescent="0.25">
      <c r="A12" s="220"/>
      <c r="B12" s="12" t="s">
        <v>11</v>
      </c>
      <c r="C12" s="30">
        <v>0</v>
      </c>
      <c r="D12" s="31">
        <v>-0.5</v>
      </c>
      <c r="E12" s="31">
        <v>-1.2</v>
      </c>
      <c r="F12">
        <v>-1.2</v>
      </c>
      <c r="G12" s="31">
        <v>-0.5</v>
      </c>
      <c r="H12" s="32">
        <v>0</v>
      </c>
      <c r="I12" s="30">
        <v>0</v>
      </c>
      <c r="J12" s="31">
        <v>-0.6</v>
      </c>
      <c r="K12">
        <v>-1.74</v>
      </c>
      <c r="L12" s="31">
        <v>-1.7</v>
      </c>
      <c r="M12" s="31">
        <v>-0.6</v>
      </c>
      <c r="N12" s="32">
        <v>0</v>
      </c>
      <c r="O12" s="30">
        <v>0</v>
      </c>
      <c r="P12" s="31">
        <v>-0.7</v>
      </c>
      <c r="Q12">
        <v>-1.6</v>
      </c>
      <c r="R12" s="31">
        <v>-1.6</v>
      </c>
      <c r="S12" s="31">
        <v>-0.7</v>
      </c>
      <c r="T12" s="32">
        <v>0</v>
      </c>
      <c r="U12" s="30">
        <v>0</v>
      </c>
      <c r="V12" s="31">
        <v>-0.7</v>
      </c>
      <c r="W12" s="31">
        <v>-1.6</v>
      </c>
      <c r="X12">
        <v>-1.6</v>
      </c>
      <c r="Y12" s="31">
        <v>-0.6</v>
      </c>
      <c r="Z12" s="32">
        <v>0</v>
      </c>
      <c r="AA12" s="16">
        <v>0</v>
      </c>
      <c r="AB12" s="111">
        <v>-1.2</v>
      </c>
      <c r="AC12" s="111">
        <v>-2.2999999999999998</v>
      </c>
      <c r="AD12" s="111">
        <v>-2.2999999999999998</v>
      </c>
      <c r="AE12" s="111">
        <v>-1.2</v>
      </c>
      <c r="AF12" s="29">
        <v>0</v>
      </c>
      <c r="AK12" t="s">
        <v>74</v>
      </c>
      <c r="AN12">
        <f>AA10+AA7</f>
        <v>7</v>
      </c>
      <c r="AY12" s="100"/>
    </row>
    <row r="13" spans="1:54" ht="15.75" thickBot="1" x14ac:dyDescent="0.3">
      <c r="A13" s="221"/>
      <c r="B13" s="18" t="s">
        <v>12</v>
      </c>
      <c r="C13" s="19"/>
      <c r="D13" s="20"/>
      <c r="E13" s="20"/>
      <c r="F13" s="20"/>
      <c r="G13" s="20"/>
      <c r="H13" s="21"/>
      <c r="I13" s="22"/>
      <c r="J13" s="23"/>
      <c r="K13" s="23"/>
      <c r="L13" s="23"/>
      <c r="M13" s="23"/>
      <c r="N13" s="24"/>
      <c r="O13" s="22">
        <v>1.2</v>
      </c>
      <c r="P13" s="23"/>
      <c r="Q13" s="23"/>
      <c r="R13" s="23"/>
      <c r="S13" s="23"/>
      <c r="T13" s="24"/>
      <c r="U13" s="22">
        <v>1.2</v>
      </c>
      <c r="V13" s="23"/>
      <c r="W13" s="23"/>
      <c r="X13" s="23"/>
      <c r="Y13" s="23"/>
      <c r="Z13" s="24"/>
      <c r="AA13" s="25">
        <v>1.2</v>
      </c>
      <c r="AB13" s="20"/>
      <c r="AC13" s="20"/>
      <c r="AD13" s="20"/>
      <c r="AE13" s="20"/>
      <c r="AF13" s="21"/>
      <c r="AK13" t="s">
        <v>79</v>
      </c>
      <c r="AN13" s="64">
        <f>(AD6+AD9+AD12+AD15)/4</f>
        <v>-2.0249999999999999</v>
      </c>
    </row>
    <row r="14" spans="1:54" x14ac:dyDescent="0.25">
      <c r="A14" s="222" t="s">
        <v>67</v>
      </c>
      <c r="B14" s="5" t="s">
        <v>10</v>
      </c>
      <c r="C14">
        <v>-2.3000000000000003</v>
      </c>
      <c r="D14">
        <v>-2.1</v>
      </c>
      <c r="E14">
        <v>-0.6</v>
      </c>
      <c r="F14">
        <v>0.8</v>
      </c>
      <c r="G14">
        <v>1.6</v>
      </c>
      <c r="H14">
        <v>1.7999999999999998</v>
      </c>
      <c r="I14">
        <v>-2.3000000000000003</v>
      </c>
      <c r="J14">
        <v>-2.1</v>
      </c>
      <c r="K14">
        <v>-0.8</v>
      </c>
      <c r="L14">
        <v>1.1000000000000001</v>
      </c>
      <c r="M14">
        <v>1.9</v>
      </c>
      <c r="N14">
        <v>2.1099999999999994</v>
      </c>
      <c r="O14">
        <v>-2.3000000000000003</v>
      </c>
      <c r="P14">
        <v>-2.1</v>
      </c>
      <c r="Q14">
        <v>-0.8</v>
      </c>
      <c r="R14">
        <v>1.1000000000000001</v>
      </c>
      <c r="S14">
        <v>2.2999999999999998</v>
      </c>
      <c r="T14">
        <v>2.4699999999999998</v>
      </c>
      <c r="U14">
        <v>-2.3000000000000003</v>
      </c>
      <c r="V14">
        <v>-2.1</v>
      </c>
      <c r="W14">
        <v>-1</v>
      </c>
      <c r="X14">
        <v>1.2</v>
      </c>
      <c r="Y14">
        <v>2.34</v>
      </c>
      <c r="Z14">
        <v>2.5299999999999998</v>
      </c>
      <c r="AA14" s="46">
        <v>-3.2</v>
      </c>
      <c r="AB14" s="46">
        <v>-3</v>
      </c>
      <c r="AC14" s="46">
        <v>-1.4</v>
      </c>
      <c r="AD14" s="46">
        <v>1.4</v>
      </c>
      <c r="AE14" s="46">
        <v>3.3</v>
      </c>
      <c r="AF14" s="46">
        <v>3.5</v>
      </c>
    </row>
    <row r="15" spans="1:54" x14ac:dyDescent="0.25">
      <c r="A15" s="223"/>
      <c r="B15" s="12" t="s">
        <v>11</v>
      </c>
      <c r="C15">
        <v>0</v>
      </c>
      <c r="D15">
        <v>-0.6</v>
      </c>
      <c r="E15">
        <v>-1.23</v>
      </c>
      <c r="F15">
        <v>-1.23</v>
      </c>
      <c r="G15">
        <v>-0.6</v>
      </c>
      <c r="H15">
        <v>0</v>
      </c>
      <c r="I15">
        <v>0</v>
      </c>
      <c r="J15">
        <v>-0.8</v>
      </c>
      <c r="K15">
        <v>-1.4</v>
      </c>
      <c r="L15">
        <v>-1.41</v>
      </c>
      <c r="M15">
        <v>-0.85</v>
      </c>
      <c r="N15">
        <v>0</v>
      </c>
      <c r="O15">
        <v>0</v>
      </c>
      <c r="P15">
        <v>-1.5</v>
      </c>
      <c r="Q15">
        <v>-2.35</v>
      </c>
      <c r="R15">
        <v>-2.35</v>
      </c>
      <c r="S15">
        <v>-1</v>
      </c>
      <c r="T15">
        <v>0</v>
      </c>
      <c r="U15">
        <v>0</v>
      </c>
      <c r="V15">
        <v>-1.9</v>
      </c>
      <c r="W15">
        <v>-2.35</v>
      </c>
      <c r="X15">
        <v>-2.2999999999999998</v>
      </c>
      <c r="Y15">
        <v>-1.1000000000000001</v>
      </c>
      <c r="Z15">
        <v>0</v>
      </c>
      <c r="AA15" s="14">
        <v>0</v>
      </c>
      <c r="AB15" s="31">
        <v>-1.1000000000000001</v>
      </c>
      <c r="AC15" s="31">
        <v>-2.4</v>
      </c>
      <c r="AD15" s="31">
        <v>-2.4</v>
      </c>
      <c r="AE15" s="31">
        <v>-1.2</v>
      </c>
      <c r="AF15" s="31">
        <v>0</v>
      </c>
      <c r="AR15" t="s">
        <v>155</v>
      </c>
    </row>
    <row r="16" spans="1:54" ht="15.75" thickBot="1" x14ac:dyDescent="0.3">
      <c r="A16" s="223"/>
      <c r="B16" s="18" t="s">
        <v>12</v>
      </c>
      <c r="AA16" s="14">
        <v>0</v>
      </c>
      <c r="AP16" s="47">
        <v>41491</v>
      </c>
      <c r="AQ16" t="s">
        <v>13</v>
      </c>
      <c r="AR16">
        <f>Q12</f>
        <v>-1.6</v>
      </c>
    </row>
    <row r="17" spans="1:49" s="99" customFormat="1" x14ac:dyDescent="0.25">
      <c r="A17" s="166"/>
      <c r="B17" s="167"/>
      <c r="AA17" s="167"/>
      <c r="AP17" s="47">
        <v>41495</v>
      </c>
      <c r="AQ17" s="99" t="s">
        <v>14</v>
      </c>
      <c r="AR17" s="99">
        <f>W9</f>
        <v>-1.3</v>
      </c>
    </row>
    <row r="18" spans="1:49" x14ac:dyDescent="0.25">
      <c r="A18" s="47"/>
      <c r="B18" s="63"/>
      <c r="C18">
        <f>(C5*D6)-(C6*D5)</f>
        <v>0</v>
      </c>
      <c r="D18">
        <f t="shared" ref="D18:Y18" si="1">(D5*E6)-(D6*E5)</f>
        <v>0</v>
      </c>
      <c r="E18">
        <f t="shared" si="1"/>
        <v>0</v>
      </c>
      <c r="F18">
        <f t="shared" si="1"/>
        <v>0</v>
      </c>
      <c r="G18">
        <f t="shared" si="1"/>
        <v>0</v>
      </c>
      <c r="H18">
        <f>(H5*C6)-(H6*C5)</f>
        <v>0</v>
      </c>
      <c r="I18">
        <f t="shared" si="1"/>
        <v>0</v>
      </c>
      <c r="J18">
        <f t="shared" si="1"/>
        <v>0</v>
      </c>
      <c r="K18">
        <f t="shared" si="1"/>
        <v>0</v>
      </c>
      <c r="L18">
        <f t="shared" si="1"/>
        <v>0</v>
      </c>
      <c r="M18">
        <f t="shared" si="1"/>
        <v>0</v>
      </c>
      <c r="N18">
        <f>(N5*I6)-(N6*I5)</f>
        <v>0</v>
      </c>
      <c r="O18">
        <f t="shared" si="1"/>
        <v>0</v>
      </c>
      <c r="P18">
        <f t="shared" si="1"/>
        <v>0</v>
      </c>
      <c r="Q18">
        <f t="shared" si="1"/>
        <v>0</v>
      </c>
      <c r="R18">
        <f t="shared" si="1"/>
        <v>0</v>
      </c>
      <c r="S18">
        <f t="shared" si="1"/>
        <v>0</v>
      </c>
      <c r="T18">
        <f>(T5*O6)-(T6*O5)</f>
        <v>0</v>
      </c>
      <c r="U18">
        <f t="shared" si="1"/>
        <v>0</v>
      </c>
      <c r="V18">
        <f t="shared" si="1"/>
        <v>0</v>
      </c>
      <c r="W18">
        <f t="shared" si="1"/>
        <v>0</v>
      </c>
      <c r="X18">
        <f t="shared" si="1"/>
        <v>0</v>
      </c>
      <c r="Y18">
        <f t="shared" si="1"/>
        <v>0</v>
      </c>
      <c r="Z18">
        <f>(Z5*U6)-(Z6*U5)</f>
        <v>0</v>
      </c>
      <c r="AA18">
        <f>(AA5*AB6)-(AA6*AB5)</f>
        <v>1.125</v>
      </c>
      <c r="AB18">
        <f>(AB5*AC6)-(AB6*AC5)</f>
        <v>0</v>
      </c>
      <c r="AC18">
        <f>(AC5*AD6)-(AC6*AD5)</f>
        <v>2.25</v>
      </c>
      <c r="AD18">
        <f>(AD5*AE6)-(AD6*AE5)</f>
        <v>0</v>
      </c>
      <c r="AE18">
        <f>(AE5*AF6)-(AE6*AF5)</f>
        <v>1.125</v>
      </c>
      <c r="AF18">
        <f>(AF5*AA6)-(AF6*AA5)</f>
        <v>0</v>
      </c>
      <c r="AG18">
        <f>ABS(SUM(C18:H18))/2</f>
        <v>0</v>
      </c>
      <c r="AH18">
        <f>ABS(SUM(I18:N18))/2</f>
        <v>0</v>
      </c>
      <c r="AI18">
        <f>ABS(SUM(O18:T18))/2</f>
        <v>0</v>
      </c>
      <c r="AJ18" s="63">
        <f>ABS(SUM(U18:Z18))/2</f>
        <v>0</v>
      </c>
      <c r="AK18" s="63">
        <f>ABS(SUM(AA18:AF18))/2</f>
        <v>2.25</v>
      </c>
      <c r="AP18" s="47">
        <v>41516</v>
      </c>
      <c r="AQ18" t="s">
        <v>15</v>
      </c>
      <c r="AR18">
        <f>AD6</f>
        <v>-1.5</v>
      </c>
    </row>
    <row r="19" spans="1:49" x14ac:dyDescent="0.25">
      <c r="A19" s="47"/>
      <c r="B19" s="63"/>
      <c r="C19">
        <f>(C8*D9)-(C9*D8)</f>
        <v>0</v>
      </c>
      <c r="D19">
        <f>(D8*E9)-(D9*E8)</f>
        <v>0</v>
      </c>
      <c r="E19">
        <f>(E8*F9)-(E9*F8)</f>
        <v>0</v>
      </c>
      <c r="F19">
        <f>(F8*G9)-(F9*G8)</f>
        <v>0</v>
      </c>
      <c r="G19">
        <f>(G8*H9)-(G9*H8)</f>
        <v>0</v>
      </c>
      <c r="H19">
        <f>(H8*C9)-(H9*C8)</f>
        <v>0</v>
      </c>
      <c r="I19">
        <f>(I8*J9)-(I9*J8)</f>
        <v>0</v>
      </c>
      <c r="J19">
        <f>(J8*K9)-(J9*K8)</f>
        <v>0</v>
      </c>
      <c r="K19">
        <f>(K8*L9)-(K9*L8)</f>
        <v>0</v>
      </c>
      <c r="L19">
        <f>(L8*M9)-(L9*M8)</f>
        <v>0</v>
      </c>
      <c r="M19">
        <f>(M8*N9)-(M9*N8)</f>
        <v>0</v>
      </c>
      <c r="N19">
        <f>(N8*I9)-(N9*I8)</f>
        <v>0</v>
      </c>
      <c r="O19">
        <f>(O8*P9)-(O9*P8)</f>
        <v>0</v>
      </c>
      <c r="P19">
        <f>(P8*Q9)-(P9*Q8)</f>
        <v>0</v>
      </c>
      <c r="Q19">
        <f>(Q8*R9)-(Q9*R8)</f>
        <v>0</v>
      </c>
      <c r="R19">
        <f>(R8*S9)-(R9*S8)</f>
        <v>0</v>
      </c>
      <c r="S19">
        <f>(S8*T9)-(S9*T8)</f>
        <v>0</v>
      </c>
      <c r="T19">
        <f>(T8*O9)-(T9*O8)</f>
        <v>0</v>
      </c>
      <c r="U19">
        <f>(U8*V9)-(U9*V8)</f>
        <v>2.2749999999999999</v>
      </c>
      <c r="V19">
        <f>(V8*W9)-(V9*W8)</f>
        <v>0</v>
      </c>
      <c r="W19">
        <f>(W8*X9)-(W9*X8)</f>
        <v>4.6150000000000002</v>
      </c>
      <c r="X19">
        <f>(X8*Y9)-(X9*Y8)</f>
        <v>0</v>
      </c>
      <c r="Y19">
        <f>(Y8*Z9)-(Y9*Z8)</f>
        <v>2.3400000000000003</v>
      </c>
      <c r="Z19">
        <f>(Z8*U9)-(Z9*U8)</f>
        <v>0</v>
      </c>
      <c r="AA19">
        <f>(AA8*AB9)-(AA9*AB8)</f>
        <v>1.92</v>
      </c>
      <c r="AB19">
        <f>(AB8*AC9)-(AB9*AC8)</f>
        <v>3.5399999999999996</v>
      </c>
      <c r="AC19">
        <f>(AC8*AD9)-(AC9*AD8)</f>
        <v>3.04</v>
      </c>
      <c r="AD19">
        <f>(AD8*AE9)-(AD9*AE8)</f>
        <v>3.5399999999999996</v>
      </c>
      <c r="AE19">
        <f>(AE8*AF9)-(AE9*AF8)</f>
        <v>1.92</v>
      </c>
      <c r="AF19">
        <f>(AF8*AA9)-(AF9*AA8)</f>
        <v>0</v>
      </c>
      <c r="AG19">
        <f>ABS(SUM(C19:H19))/2</f>
        <v>0</v>
      </c>
      <c r="AH19">
        <f>ABS(SUM(I19:N19))/2</f>
        <v>0</v>
      </c>
      <c r="AI19">
        <f>ABS(SUM(O19:T19))/2</f>
        <v>0</v>
      </c>
      <c r="AJ19" s="63">
        <f>ABS(SUM(U19:Z19))/2</f>
        <v>4.6150000000000002</v>
      </c>
      <c r="AK19" s="63">
        <f>ABS(SUM(AA19:AF19))/2</f>
        <v>6.9799999999999995</v>
      </c>
      <c r="AQ19" t="s">
        <v>156</v>
      </c>
      <c r="AR19" s="64">
        <f>AVERAGE(AR16:AR18)</f>
        <v>-1.4666666666666668</v>
      </c>
      <c r="AS19" s="64"/>
      <c r="AT19" s="64"/>
      <c r="AU19" s="64"/>
      <c r="AV19" s="64"/>
      <c r="AW19" s="64"/>
    </row>
    <row r="20" spans="1:49" ht="14.25" customHeight="1" x14ac:dyDescent="0.25">
      <c r="A20" s="47"/>
      <c r="B20" s="63"/>
      <c r="C20">
        <f>(C11*D12)-(C12*D11)</f>
        <v>1.2249999999999999</v>
      </c>
      <c r="D20">
        <f>(D11*E12)-(D12*E11)</f>
        <v>2.5349999999999997</v>
      </c>
      <c r="E20">
        <f>(E11*F12)-(E12*F11)</f>
        <v>1.1400000000000001</v>
      </c>
      <c r="F20">
        <f>(F11*G12)-(F12*G11)</f>
        <v>1.5499999999999998</v>
      </c>
      <c r="G20">
        <f>(G11*H12)-(G12*H11)</f>
        <v>0.85</v>
      </c>
      <c r="H20">
        <f>(H11*C12)-(H12*C11)</f>
        <v>0</v>
      </c>
      <c r="I20">
        <f>(I11*J12)-(I12*J11)</f>
        <v>1.5</v>
      </c>
      <c r="J20">
        <f>(J11*K12)-(J12*K11)</f>
        <v>3.702</v>
      </c>
      <c r="K20">
        <f>(K11*L12)-(K12*L11)</f>
        <v>1.7896000000000001</v>
      </c>
      <c r="L20">
        <f>(L11*M12)-(L12*M11)</f>
        <v>2.3109999999999999</v>
      </c>
      <c r="M20">
        <f>(M11*N12)-(M12*N11)</f>
        <v>1.0559999999999998</v>
      </c>
      <c r="N20">
        <f>(N11*I12)-(N12*I11)</f>
        <v>0</v>
      </c>
      <c r="O20">
        <f>(O11*P12)-(O12*P11)</f>
        <v>1.75</v>
      </c>
      <c r="P20">
        <f>(P11*Q12)-(P12*Q11)</f>
        <v>3.3299999999999996</v>
      </c>
      <c r="Q20">
        <f>(Q11*R12)-(Q12*R11)</f>
        <v>1.76</v>
      </c>
      <c r="R20">
        <f>(R11*S12)-(R12*S11)</f>
        <v>2.0600000000000005</v>
      </c>
      <c r="S20">
        <f>(S11*T12)-(S12*T11)</f>
        <v>1.2459999999999998</v>
      </c>
      <c r="T20">
        <f>(T11*O12)-(T12*O11)</f>
        <v>0</v>
      </c>
      <c r="U20">
        <f>(U11*V12)-(U12*V11)</f>
        <v>1.75</v>
      </c>
      <c r="V20">
        <f>(V11*W12)-(V12*W11)</f>
        <v>3.26</v>
      </c>
      <c r="W20">
        <f>(W11*X12)-(W12*X11)</f>
        <v>2.2400000000000002</v>
      </c>
      <c r="X20">
        <f>(X11*Y12)-(X12*Y11)</f>
        <v>3.0400000000000005</v>
      </c>
      <c r="Y20">
        <f>(Y11*Z12)-(Y12*Z11)</f>
        <v>1.44</v>
      </c>
      <c r="Z20">
        <f>(Z11*U12)-(Z12*U11)</f>
        <v>0</v>
      </c>
      <c r="AA20">
        <f>(AA11*AB12)-(AA12*AB11)</f>
        <v>3.7199999999999998</v>
      </c>
      <c r="AB20">
        <f>(AB11*AC12)-(AB12*AC11)</f>
        <v>5.7099999999999991</v>
      </c>
      <c r="AC20">
        <f>(AC11*AD12)-(AC12*AD11)</f>
        <v>3.9099999999999997</v>
      </c>
      <c r="AD20">
        <f>(AD11*AE12)-(AD12*AE11)</f>
        <v>5.589999999999999</v>
      </c>
      <c r="AE20">
        <f>(AE11*AF12)-(AE12*AF11)</f>
        <v>3.7199999999999998</v>
      </c>
      <c r="AF20">
        <f>(AF11*AA12)-(AF12*AA11)</f>
        <v>0</v>
      </c>
      <c r="AG20">
        <f>ABS(SUM(C20:H20))/2</f>
        <v>3.65</v>
      </c>
      <c r="AH20">
        <f>ABS(SUM(I20:N20))/2</f>
        <v>5.1792999999999996</v>
      </c>
      <c r="AI20">
        <f>ABS(SUM(O20:T20))/2</f>
        <v>5.0730000000000004</v>
      </c>
      <c r="AJ20" s="63">
        <f>ABS(SUM(U20:Z20))/2</f>
        <v>5.8650000000000002</v>
      </c>
      <c r="AK20" s="63">
        <f>ABS(SUM(AA20:AF20))/2</f>
        <v>11.324999999999999</v>
      </c>
    </row>
    <row r="21" spans="1:49" x14ac:dyDescent="0.25">
      <c r="A21" s="47"/>
      <c r="B21" s="63"/>
      <c r="C21">
        <f>(C14*D15)-(C15*D14)</f>
        <v>1.3800000000000001</v>
      </c>
      <c r="D21">
        <f t="shared" ref="D21:Y21" si="2">(D14*E15)-(D15*E14)</f>
        <v>2.2230000000000003</v>
      </c>
      <c r="E21">
        <f t="shared" si="2"/>
        <v>1.722</v>
      </c>
      <c r="F21">
        <f t="shared" si="2"/>
        <v>1.488</v>
      </c>
      <c r="G21">
        <f t="shared" si="2"/>
        <v>1.0799999999999998</v>
      </c>
      <c r="H21">
        <f>(H14*C15)-(H15*C14)</f>
        <v>0</v>
      </c>
      <c r="I21">
        <f t="shared" si="2"/>
        <v>1.8400000000000003</v>
      </c>
      <c r="J21">
        <f t="shared" si="2"/>
        <v>2.2999999999999998</v>
      </c>
      <c r="K21">
        <f t="shared" si="2"/>
        <v>2.6680000000000001</v>
      </c>
      <c r="L21">
        <f t="shared" si="2"/>
        <v>1.7439999999999998</v>
      </c>
      <c r="M21">
        <f t="shared" si="2"/>
        <v>1.7934999999999994</v>
      </c>
      <c r="N21">
        <f>(N14*I15)-(N15*I14)</f>
        <v>0</v>
      </c>
      <c r="O21">
        <f t="shared" si="2"/>
        <v>3.45</v>
      </c>
      <c r="P21">
        <f t="shared" si="2"/>
        <v>3.7350000000000003</v>
      </c>
      <c r="Q21">
        <f t="shared" si="2"/>
        <v>4.4650000000000007</v>
      </c>
      <c r="R21">
        <f t="shared" si="2"/>
        <v>4.3049999999999997</v>
      </c>
      <c r="S21">
        <f t="shared" si="2"/>
        <v>2.4699999999999998</v>
      </c>
      <c r="T21">
        <f>(T14*O15)-(T15*O14)</f>
        <v>0</v>
      </c>
      <c r="U21">
        <f t="shared" si="2"/>
        <v>4.37</v>
      </c>
      <c r="V21">
        <f t="shared" si="2"/>
        <v>3.0350000000000006</v>
      </c>
      <c r="W21">
        <f t="shared" si="2"/>
        <v>5.1199999999999992</v>
      </c>
      <c r="X21">
        <f t="shared" si="2"/>
        <v>4.0619999999999994</v>
      </c>
      <c r="Y21">
        <f t="shared" si="2"/>
        <v>2.7829999999999999</v>
      </c>
      <c r="Z21">
        <f>(Z14*U15)-(Z15*U14)</f>
        <v>0</v>
      </c>
      <c r="AA21">
        <f>(AA14*AB15)-(AA15*AB14)</f>
        <v>3.5200000000000005</v>
      </c>
      <c r="AB21">
        <f>(AB14*AC15)-(AB15*AC14)</f>
        <v>5.6599999999999993</v>
      </c>
      <c r="AC21">
        <f>(AC14*AD15)-(AC15*AD14)</f>
        <v>6.72</v>
      </c>
      <c r="AD21">
        <f>(AD14*AE15)-(AD15*AE14)</f>
        <v>6.2399999999999993</v>
      </c>
      <c r="AE21">
        <f>(AE14*AF15)-(AE15*AF14)</f>
        <v>4.2</v>
      </c>
      <c r="AF21">
        <f>(AF14*AA15)-(AF15*AA14)</f>
        <v>0</v>
      </c>
      <c r="AG21">
        <f>ABS(SUM(C21:H21))/2</f>
        <v>3.9465000000000003</v>
      </c>
      <c r="AH21">
        <f>ABS(SUM(I21:N21))/2</f>
        <v>5.1727499999999997</v>
      </c>
      <c r="AI21">
        <f>ABS(SUM(O21:T21))/2</f>
        <v>9.2125000000000004</v>
      </c>
      <c r="AJ21" s="63">
        <f>ABS(SUM(U21:Z21))/2</f>
        <v>9.6850000000000005</v>
      </c>
      <c r="AK21" s="63">
        <f>ABS(SUM(AA21:AF21))/2</f>
        <v>13.169999999999998</v>
      </c>
    </row>
    <row r="23" spans="1:49" x14ac:dyDescent="0.25">
      <c r="A23" s="85"/>
      <c r="C23" s="47">
        <f>F3</f>
        <v>41453</v>
      </c>
      <c r="D23" s="47">
        <f>K3</f>
        <v>41478</v>
      </c>
      <c r="E23" s="47">
        <f>Q3</f>
        <v>41491</v>
      </c>
      <c r="F23" s="47">
        <f>W3</f>
        <v>41499</v>
      </c>
      <c r="G23" s="47">
        <f>AC3</f>
        <v>41516</v>
      </c>
      <c r="J23" s="47">
        <v>41930</v>
      </c>
    </row>
    <row r="24" spans="1:49" x14ac:dyDescent="0.25">
      <c r="B24" t="s">
        <v>10</v>
      </c>
      <c r="C24">
        <f>H11-C11</f>
        <v>4.1499999999999995</v>
      </c>
      <c r="D24">
        <f>N11-I11</f>
        <v>4.26</v>
      </c>
      <c r="E24">
        <f>T11-O11</f>
        <v>4.2799999999999994</v>
      </c>
      <c r="F24">
        <f>Z11-U11</f>
        <v>4.9000000000000004</v>
      </c>
      <c r="G24">
        <f>AF11-AA11</f>
        <v>6.2</v>
      </c>
      <c r="J24">
        <v>0</v>
      </c>
      <c r="O24">
        <v>3.3</v>
      </c>
    </row>
    <row r="25" spans="1:49" x14ac:dyDescent="0.25">
      <c r="B25" t="s">
        <v>11</v>
      </c>
      <c r="C25">
        <f>F12</f>
        <v>-1.2</v>
      </c>
      <c r="D25">
        <f>K12</f>
        <v>-1.74</v>
      </c>
      <c r="E25">
        <f>Q12</f>
        <v>-1.6</v>
      </c>
      <c r="F25">
        <f>W12</f>
        <v>-1.6</v>
      </c>
      <c r="G25">
        <f>AD9</f>
        <v>-1.9</v>
      </c>
      <c r="J25">
        <v>2.15</v>
      </c>
      <c r="O25">
        <v>2.15</v>
      </c>
    </row>
    <row r="26" spans="1:49" x14ac:dyDescent="0.25">
      <c r="B26" t="s">
        <v>12</v>
      </c>
      <c r="C26">
        <v>1.2</v>
      </c>
      <c r="D26">
        <v>1.2</v>
      </c>
      <c r="E26">
        <v>1.2</v>
      </c>
      <c r="F26">
        <f>U13+U10</f>
        <v>5.6000000000000005</v>
      </c>
      <c r="G26">
        <f>AA7+F26</f>
        <v>8.2000000000000011</v>
      </c>
      <c r="J26">
        <v>2</v>
      </c>
    </row>
    <row r="27" spans="1:49" x14ac:dyDescent="0.25">
      <c r="B27" t="s">
        <v>10</v>
      </c>
      <c r="J27">
        <v>0</v>
      </c>
      <c r="O27">
        <v>4.2</v>
      </c>
    </row>
    <row r="28" spans="1:49" x14ac:dyDescent="0.25">
      <c r="B28" t="s">
        <v>11</v>
      </c>
      <c r="J28">
        <v>1.9</v>
      </c>
      <c r="O28">
        <v>1.9</v>
      </c>
    </row>
    <row r="29" spans="1:49" x14ac:dyDescent="0.25">
      <c r="B29" t="s">
        <v>12</v>
      </c>
      <c r="J29">
        <v>3</v>
      </c>
    </row>
    <row r="30" spans="1:49" x14ac:dyDescent="0.25">
      <c r="B30" t="s">
        <v>10</v>
      </c>
      <c r="J30">
        <v>0</v>
      </c>
      <c r="O30">
        <v>5.4</v>
      </c>
    </row>
    <row r="31" spans="1:49" x14ac:dyDescent="0.25">
      <c r="B31" t="s">
        <v>11</v>
      </c>
      <c r="J31">
        <v>2.4</v>
      </c>
      <c r="O31">
        <v>2.4</v>
      </c>
    </row>
    <row r="32" spans="1:49" x14ac:dyDescent="0.25">
      <c r="B32" t="s">
        <v>12</v>
      </c>
      <c r="J32">
        <v>0</v>
      </c>
    </row>
  </sheetData>
  <mergeCells count="6">
    <mergeCell ref="A14:A16"/>
    <mergeCell ref="AH2:AL2"/>
    <mergeCell ref="AM2:AQ2"/>
    <mergeCell ref="A5:A7"/>
    <mergeCell ref="A8:A10"/>
    <mergeCell ref="A11:A1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32"/>
  <sheetViews>
    <sheetView topLeftCell="W1" zoomScale="75" zoomScaleNormal="75" workbookViewId="0">
      <selection activeCell="AR5" sqref="AR5:AT8"/>
    </sheetView>
  </sheetViews>
  <sheetFormatPr defaultRowHeight="15" x14ac:dyDescent="0.25"/>
  <cols>
    <col min="2" max="2" width="12" bestFit="1" customWidth="1"/>
    <col min="3" max="4" width="10.85546875" bestFit="1" customWidth="1"/>
    <col min="5" max="5" width="9.7109375" bestFit="1" customWidth="1"/>
    <col min="6" max="7" width="10.85546875" bestFit="1" customWidth="1"/>
    <col min="11" max="11" width="12" bestFit="1" customWidth="1"/>
    <col min="23" max="23" width="10.85546875" bestFit="1" customWidth="1"/>
    <col min="41" max="41" width="10.85546875" bestFit="1" customWidth="1"/>
  </cols>
  <sheetData>
    <row r="1" spans="1:53" x14ac:dyDescent="0.25"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102">
        <v>41478</v>
      </c>
      <c r="AJ1" s="47">
        <v>41491</v>
      </c>
      <c r="AK1" s="47">
        <v>41495</v>
      </c>
      <c r="AL1" s="47">
        <v>41517</v>
      </c>
    </row>
    <row r="2" spans="1:53" ht="15.75" thickBot="1" x14ac:dyDescent="0.3"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205"/>
      <c r="AS2" s="205"/>
      <c r="AT2" s="205"/>
      <c r="AU2" s="205"/>
      <c r="AV2" s="3"/>
      <c r="AW2" s="3"/>
      <c r="AX2" s="3"/>
      <c r="AY2" s="3"/>
      <c r="AZ2" s="3"/>
      <c r="BA2" s="3"/>
    </row>
    <row r="3" spans="1:53" x14ac:dyDescent="0.25">
      <c r="F3" s="47">
        <v>41453</v>
      </c>
      <c r="I3" s="1"/>
      <c r="J3" s="2"/>
      <c r="K3" s="102">
        <v>41478</v>
      </c>
      <c r="L3" s="2"/>
      <c r="M3" s="2"/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4">
        <v>41478</v>
      </c>
      <c r="AJ3" s="105">
        <v>41491</v>
      </c>
      <c r="AK3" s="105">
        <v>41495</v>
      </c>
      <c r="AL3" s="106">
        <v>41516</v>
      </c>
      <c r="AM3" s="103">
        <v>41453</v>
      </c>
      <c r="AN3" s="104">
        <v>41478</v>
      </c>
      <c r="AO3" s="105">
        <v>41491</v>
      </c>
      <c r="AP3" s="105">
        <v>41495</v>
      </c>
      <c r="AQ3" s="106" t="s">
        <v>2</v>
      </c>
      <c r="AR3" s="171"/>
      <c r="AS3" s="171"/>
      <c r="AT3" s="171"/>
      <c r="AU3" s="171"/>
      <c r="AV3" s="1"/>
      <c r="AW3" t="s">
        <v>50</v>
      </c>
      <c r="AX3" t="s">
        <v>42</v>
      </c>
      <c r="AY3" t="s">
        <v>54</v>
      </c>
      <c r="AZ3" t="s">
        <v>55</v>
      </c>
      <c r="BA3" t="s">
        <v>59</v>
      </c>
    </row>
    <row r="4" spans="1:53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2" t="s">
        <v>35</v>
      </c>
      <c r="AM4" s="70" t="s">
        <v>37</v>
      </c>
      <c r="AN4" s="71" t="s">
        <v>38</v>
      </c>
      <c r="AO4" s="71" t="s">
        <v>39</v>
      </c>
      <c r="AP4" s="71" t="s">
        <v>40</v>
      </c>
      <c r="AQ4" s="72" t="s">
        <v>41</v>
      </c>
      <c r="AR4" s="71"/>
      <c r="AS4" s="71"/>
      <c r="AT4" s="71"/>
      <c r="AU4" s="71"/>
      <c r="AV4" t="s">
        <v>9</v>
      </c>
      <c r="AW4">
        <v>0</v>
      </c>
      <c r="AY4">
        <v>-5.0999999999999996</v>
      </c>
      <c r="AZ4">
        <v>11.5</v>
      </c>
    </row>
    <row r="5" spans="1:53" x14ac:dyDescent="0.25">
      <c r="A5" s="219" t="s">
        <v>9</v>
      </c>
      <c r="B5" s="5" t="s">
        <v>10</v>
      </c>
      <c r="C5" s="121"/>
      <c r="D5" s="122"/>
      <c r="E5" s="122"/>
      <c r="F5" s="122"/>
      <c r="G5" s="122"/>
      <c r="H5" s="123"/>
      <c r="I5" s="121"/>
      <c r="J5" s="122"/>
      <c r="K5" s="122"/>
      <c r="L5" s="122"/>
      <c r="M5" s="122"/>
      <c r="N5" s="123"/>
      <c r="O5" s="121"/>
      <c r="P5" s="122"/>
      <c r="Q5" s="122"/>
      <c r="R5" s="122"/>
      <c r="S5" s="122"/>
      <c r="T5" s="123"/>
      <c r="U5" s="121"/>
      <c r="V5" s="122"/>
      <c r="W5" s="122"/>
      <c r="X5" s="122"/>
      <c r="Y5" s="122"/>
      <c r="Z5" s="123"/>
      <c r="AA5" s="10">
        <v>-9.3000000000000007</v>
      </c>
      <c r="AB5" s="10">
        <v>-8.6999999999999993</v>
      </c>
      <c r="AC5" s="10">
        <v>-4</v>
      </c>
      <c r="AD5" s="10">
        <v>5</v>
      </c>
      <c r="AE5" s="10">
        <v>9</v>
      </c>
      <c r="AF5" s="11">
        <v>9.1999999999999993</v>
      </c>
      <c r="AG5" s="16" t="s">
        <v>15</v>
      </c>
      <c r="AH5" s="73">
        <f t="shared" ref="AH5:AL8" si="0">AG18</f>
        <v>0</v>
      </c>
      <c r="AI5" s="74">
        <f t="shared" si="0"/>
        <v>0</v>
      </c>
      <c r="AJ5" s="74">
        <f t="shared" si="0"/>
        <v>0</v>
      </c>
      <c r="AK5" s="74">
        <f t="shared" si="0"/>
        <v>0</v>
      </c>
      <c r="AL5" s="74">
        <f t="shared" si="0"/>
        <v>43.64</v>
      </c>
      <c r="AM5" s="78"/>
      <c r="AN5" s="49"/>
      <c r="AO5" s="49"/>
      <c r="AP5" s="49"/>
      <c r="AQ5" s="81"/>
      <c r="AR5" s="16" t="s">
        <v>15</v>
      </c>
      <c r="AS5" s="49">
        <f>AF5-AA5</f>
        <v>18.5</v>
      </c>
      <c r="AT5" s="49">
        <f>AA7</f>
        <v>2.5</v>
      </c>
      <c r="AU5" s="49"/>
      <c r="AV5" t="s">
        <v>13</v>
      </c>
      <c r="AW5">
        <v>2.4</v>
      </c>
      <c r="AX5" s="100">
        <v>99.397579792000016</v>
      </c>
      <c r="AY5">
        <v>-5.0999999999999996</v>
      </c>
      <c r="AZ5">
        <v>11.6</v>
      </c>
    </row>
    <row r="6" spans="1:53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4"/>
      <c r="J6" s="125"/>
      <c r="K6" s="125"/>
      <c r="L6" s="125"/>
      <c r="M6" s="125"/>
      <c r="N6" s="126"/>
      <c r="O6" s="124"/>
      <c r="P6" s="125"/>
      <c r="Q6" s="125"/>
      <c r="R6" s="125"/>
      <c r="S6" s="125"/>
      <c r="T6" s="126"/>
      <c r="U6" s="124"/>
      <c r="V6" s="125"/>
      <c r="W6" s="125"/>
      <c r="X6" s="125"/>
      <c r="Y6" s="125"/>
      <c r="Z6" s="126"/>
      <c r="AA6" s="16">
        <v>0</v>
      </c>
      <c r="AB6" s="16">
        <v>-0.8</v>
      </c>
      <c r="AC6" s="16">
        <v>-3</v>
      </c>
      <c r="AD6" s="16">
        <v>-3</v>
      </c>
      <c r="AE6" s="16">
        <v>-0.7</v>
      </c>
      <c r="AF6" s="17">
        <v>0</v>
      </c>
      <c r="AG6" s="16" t="s">
        <v>14</v>
      </c>
      <c r="AH6" s="73">
        <f t="shared" si="0"/>
        <v>0</v>
      </c>
      <c r="AI6" s="74">
        <f t="shared" si="0"/>
        <v>0</v>
      </c>
      <c r="AJ6" s="74">
        <f t="shared" si="0"/>
        <v>0</v>
      </c>
      <c r="AK6" s="74">
        <f t="shared" si="0"/>
        <v>68.97999999999999</v>
      </c>
      <c r="AL6" s="74">
        <f t="shared" si="0"/>
        <v>96.049999999999983</v>
      </c>
      <c r="AM6" s="78"/>
      <c r="AN6" s="49"/>
      <c r="AO6" s="49"/>
      <c r="AP6" s="49"/>
      <c r="AQ6" s="83">
        <f>(AL5+AL6)/2*$AA$7</f>
        <v>174.61250000000001</v>
      </c>
      <c r="AR6" s="16" t="s">
        <v>14</v>
      </c>
      <c r="AS6" s="82">
        <f>AF8-AA8</f>
        <v>25</v>
      </c>
      <c r="AT6" s="82">
        <f>AA10</f>
        <v>7.5</v>
      </c>
      <c r="AU6" s="82"/>
      <c r="AV6" t="s">
        <v>14</v>
      </c>
      <c r="AW6">
        <v>4.9000000000000004</v>
      </c>
      <c r="AX6" s="100">
        <v>97.639239366666658</v>
      </c>
      <c r="AY6">
        <v>-4.7</v>
      </c>
      <c r="AZ6">
        <v>9</v>
      </c>
      <c r="BA6">
        <v>-2.0099999999999998</v>
      </c>
    </row>
    <row r="7" spans="1:53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7"/>
      <c r="J7" s="118"/>
      <c r="K7" s="118"/>
      <c r="L7" s="118"/>
      <c r="M7" s="118"/>
      <c r="N7" s="119"/>
      <c r="O7" s="117"/>
      <c r="P7" s="118"/>
      <c r="Q7" s="118"/>
      <c r="R7" s="118"/>
      <c r="S7" s="118"/>
      <c r="T7" s="119"/>
      <c r="U7" s="117"/>
      <c r="V7" s="118"/>
      <c r="W7" s="118"/>
      <c r="X7" s="118"/>
      <c r="Y7" s="118"/>
      <c r="Z7" s="119"/>
      <c r="AA7" s="25">
        <v>2.5</v>
      </c>
      <c r="AB7" s="25"/>
      <c r="AC7" s="25"/>
      <c r="AD7" s="25"/>
      <c r="AE7" s="25"/>
      <c r="AF7" s="26"/>
      <c r="AG7" s="16" t="s">
        <v>13</v>
      </c>
      <c r="AH7" s="73">
        <f t="shared" si="0"/>
        <v>53.314999999999998</v>
      </c>
      <c r="AI7" s="74">
        <f t="shared" si="0"/>
        <v>61.656499999999994</v>
      </c>
      <c r="AJ7" s="74">
        <f t="shared" si="0"/>
        <v>69.44850000000001</v>
      </c>
      <c r="AK7" s="74">
        <f t="shared" si="0"/>
        <v>87.554249999999996</v>
      </c>
      <c r="AL7" s="74">
        <f t="shared" si="0"/>
        <v>112.22</v>
      </c>
      <c r="AM7" s="78"/>
      <c r="AN7" s="49"/>
      <c r="AO7" s="49"/>
      <c r="AP7" s="82">
        <f>(AK6+AK7)/2*$AA$10</f>
        <v>587.0034374999999</v>
      </c>
      <c r="AQ7" s="82">
        <f>(AL6+AL7)/2*$AA$10</f>
        <v>781.01249999999993</v>
      </c>
      <c r="AR7" s="16" t="s">
        <v>13</v>
      </c>
      <c r="AS7" s="82">
        <f>AF11-AA11</f>
        <v>32</v>
      </c>
      <c r="AT7" s="82">
        <f>AA13</f>
        <v>5.2</v>
      </c>
      <c r="AU7" s="82"/>
      <c r="AV7" t="s">
        <v>15</v>
      </c>
      <c r="AW7">
        <v>7.4</v>
      </c>
      <c r="AX7" s="100">
        <v>100.22718749999999</v>
      </c>
      <c r="AY7">
        <v>-4.7</v>
      </c>
      <c r="AZ7">
        <v>12</v>
      </c>
      <c r="BA7">
        <v>-2.42</v>
      </c>
    </row>
    <row r="8" spans="1:53" x14ac:dyDescent="0.25">
      <c r="A8" s="219" t="s">
        <v>13</v>
      </c>
      <c r="B8" s="12" t="s">
        <v>10</v>
      </c>
      <c r="C8" s="114"/>
      <c r="D8" s="113"/>
      <c r="E8" s="113"/>
      <c r="F8" s="113"/>
      <c r="G8" s="113"/>
      <c r="H8" s="115"/>
      <c r="I8" s="114"/>
      <c r="J8" s="113"/>
      <c r="K8" s="113"/>
      <c r="L8" s="113"/>
      <c r="M8" s="113"/>
      <c r="N8" s="115"/>
      <c r="O8" s="114"/>
      <c r="P8" s="113"/>
      <c r="Q8" s="113"/>
      <c r="R8" s="113"/>
      <c r="S8" s="113"/>
      <c r="T8" s="115"/>
      <c r="U8" s="30">
        <v>-11.3</v>
      </c>
      <c r="V8" s="31">
        <v>-11</v>
      </c>
      <c r="W8" s="31">
        <v>-2.7</v>
      </c>
      <c r="X8" s="31">
        <v>2.6</v>
      </c>
      <c r="Y8" s="31">
        <v>10.9</v>
      </c>
      <c r="Z8" s="32">
        <v>11.2</v>
      </c>
      <c r="AA8" s="16">
        <v>-12.2</v>
      </c>
      <c r="AB8" s="111">
        <v>-11.7</v>
      </c>
      <c r="AC8" s="111">
        <v>-2.9</v>
      </c>
      <c r="AD8" s="111">
        <v>3</v>
      </c>
      <c r="AE8" s="111">
        <v>12</v>
      </c>
      <c r="AF8" s="29">
        <v>12.8</v>
      </c>
      <c r="AG8" s="16" t="s">
        <v>9</v>
      </c>
      <c r="AH8" s="73">
        <f t="shared" si="0"/>
        <v>40.802500000000002</v>
      </c>
      <c r="AI8" s="74">
        <f t="shared" si="0"/>
        <v>55.215000000000003</v>
      </c>
      <c r="AJ8" s="74">
        <f t="shared" si="0"/>
        <v>66.857749999999996</v>
      </c>
      <c r="AK8" s="74">
        <f t="shared" si="0"/>
        <v>91.296999999999997</v>
      </c>
      <c r="AL8" s="74">
        <f t="shared" si="0"/>
        <v>98.64</v>
      </c>
      <c r="AM8" s="73">
        <f>(AH7+AH8)/2*$AA$13</f>
        <v>244.70550000000003</v>
      </c>
      <c r="AN8" s="73">
        <f>(AI7+AI8)/2*$AA$13</f>
        <v>303.86590000000001</v>
      </c>
      <c r="AO8" s="73">
        <f>(AJ7+AJ8)/2*$AA$13</f>
        <v>354.39625000000001</v>
      </c>
      <c r="AP8" s="73">
        <f>(AK7+AK8)/2*$AA$13</f>
        <v>465.01324999999997</v>
      </c>
      <c r="AQ8" s="73">
        <f>(AL7+AL8)/2*$AA$13</f>
        <v>548.2360000000001</v>
      </c>
      <c r="AR8" s="16" t="s">
        <v>9</v>
      </c>
      <c r="AS8" s="82">
        <f>AF14-AA14</f>
        <v>30.5</v>
      </c>
      <c r="AT8" s="82"/>
      <c r="AU8" s="82"/>
      <c r="AV8" t="s">
        <v>16</v>
      </c>
      <c r="AW8">
        <v>15.4</v>
      </c>
      <c r="AX8" s="100">
        <v>366.79775999999987</v>
      </c>
      <c r="AY8">
        <v>-3.7</v>
      </c>
      <c r="AZ8">
        <v>12</v>
      </c>
    </row>
    <row r="9" spans="1:53" x14ac:dyDescent="0.25">
      <c r="A9" s="220"/>
      <c r="B9" s="12" t="s">
        <v>11</v>
      </c>
      <c r="C9" s="114"/>
      <c r="D9" s="113"/>
      <c r="E9" s="113"/>
      <c r="F9" s="113"/>
      <c r="G9" s="113"/>
      <c r="H9" s="115"/>
      <c r="I9" s="114"/>
      <c r="J9" s="113"/>
      <c r="K9" s="113"/>
      <c r="L9" s="113"/>
      <c r="M9" s="113"/>
      <c r="N9" s="115"/>
      <c r="O9" s="114"/>
      <c r="P9" s="113"/>
      <c r="Q9" s="113"/>
      <c r="R9" s="113"/>
      <c r="S9" s="113"/>
      <c r="T9" s="115"/>
      <c r="U9" s="30">
        <v>0</v>
      </c>
      <c r="V9" s="31">
        <v>-1.1000000000000001</v>
      </c>
      <c r="W9" s="31">
        <v>-4.3</v>
      </c>
      <c r="X9" s="31">
        <v>-4.2</v>
      </c>
      <c r="Y9" s="31">
        <v>-1.5</v>
      </c>
      <c r="Z9" s="32">
        <v>0</v>
      </c>
      <c r="AA9" s="16">
        <v>0</v>
      </c>
      <c r="AB9" s="111">
        <v>-2</v>
      </c>
      <c r="AC9" s="111">
        <v>-5.0999999999999996</v>
      </c>
      <c r="AD9" s="111">
        <v>-5.0999999999999996</v>
      </c>
      <c r="AE9" s="111">
        <v>-2.2999999999999998</v>
      </c>
      <c r="AF9" s="29">
        <v>0</v>
      </c>
      <c r="AG9" s="16" t="s">
        <v>86</v>
      </c>
      <c r="AH9" s="76">
        <f>SUM(AH5:AH8)</f>
        <v>94.117500000000007</v>
      </c>
      <c r="AI9" s="76">
        <f>SUM(AI5:AI8)</f>
        <v>116.8715</v>
      </c>
      <c r="AJ9" s="76">
        <f>SUM(AJ5:AJ8)</f>
        <v>136.30625000000001</v>
      </c>
      <c r="AK9" s="76">
        <f>SUM(AK5:AK8)</f>
        <v>247.83124999999998</v>
      </c>
      <c r="AL9" s="76">
        <f>SUM(AL5:AL8)</f>
        <v>350.55</v>
      </c>
      <c r="AM9" s="144">
        <f>SUM(AM7+AM8)</f>
        <v>244.70550000000003</v>
      </c>
      <c r="AN9" s="144">
        <f>SUM(AN7+AN8)</f>
        <v>303.86590000000001</v>
      </c>
      <c r="AO9" s="144">
        <f>SUM(AO7+AO8)</f>
        <v>354.39625000000001</v>
      </c>
      <c r="AP9" s="144">
        <f>SUM(AP7+AP8)</f>
        <v>1052.0166875</v>
      </c>
      <c r="AQ9" s="144">
        <f>SUM(AQ7+AQ8+AQ6)</f>
        <v>1503.8610000000001</v>
      </c>
      <c r="AR9" s="144"/>
      <c r="AS9" s="144"/>
      <c r="AT9" s="144"/>
      <c r="AU9" s="144"/>
      <c r="AV9">
        <v>1967.62872625</v>
      </c>
      <c r="AW9">
        <v>20.8</v>
      </c>
      <c r="AX9" s="100">
        <v>142.83234872999989</v>
      </c>
      <c r="AY9">
        <v>-1.6</v>
      </c>
      <c r="AZ9">
        <v>5.7</v>
      </c>
    </row>
    <row r="10" spans="1:53" ht="15.75" thickBot="1" x14ac:dyDescent="0.3">
      <c r="A10" s="221"/>
      <c r="B10" s="12" t="s">
        <v>12</v>
      </c>
      <c r="C10" s="117"/>
      <c r="D10" s="118"/>
      <c r="E10" s="118"/>
      <c r="F10" s="118"/>
      <c r="G10" s="118"/>
      <c r="H10" s="119"/>
      <c r="I10" s="117"/>
      <c r="J10" s="118"/>
      <c r="K10" s="118"/>
      <c r="L10" s="118"/>
      <c r="M10" s="118"/>
      <c r="N10" s="119"/>
      <c r="O10" s="114"/>
      <c r="P10" s="113"/>
      <c r="Q10" s="113"/>
      <c r="R10" s="113"/>
      <c r="S10" s="113"/>
      <c r="T10" s="115"/>
      <c r="U10" s="30">
        <v>7.5</v>
      </c>
      <c r="V10" s="31"/>
      <c r="W10" s="31"/>
      <c r="X10" s="31"/>
      <c r="Y10" s="31"/>
      <c r="Z10" s="32"/>
      <c r="AA10" s="16">
        <v>7.5</v>
      </c>
      <c r="AB10" s="111"/>
      <c r="AC10" s="111"/>
      <c r="AD10" s="111"/>
      <c r="AE10" s="111"/>
      <c r="AF10" s="29"/>
      <c r="AG10" s="16"/>
      <c r="AH10" s="78"/>
      <c r="AI10" s="74"/>
      <c r="AJ10" s="74"/>
      <c r="AK10" s="74"/>
      <c r="AL10" s="75">
        <f>AL9-AH9</f>
        <v>256.4325</v>
      </c>
      <c r="AM10" s="145"/>
      <c r="AN10" s="144"/>
      <c r="AO10" s="144"/>
      <c r="AP10" s="144"/>
      <c r="AQ10" s="146">
        <f>AQ9-AM9</f>
        <v>1259.1555000000001</v>
      </c>
      <c r="AR10" s="144"/>
      <c r="AS10" s="144"/>
      <c r="AT10" s="144"/>
      <c r="AU10" s="144"/>
      <c r="AV10">
        <v>1575.0651268675001</v>
      </c>
      <c r="AW10">
        <v>30.8</v>
      </c>
      <c r="AX10" s="100">
        <v>70.801949500000006</v>
      </c>
      <c r="AY10">
        <v>-1.7</v>
      </c>
      <c r="AZ10">
        <v>3.2</v>
      </c>
      <c r="BA10">
        <v>-2.5099999999999998</v>
      </c>
    </row>
    <row r="11" spans="1:53" x14ac:dyDescent="0.25">
      <c r="A11" s="219" t="s">
        <v>14</v>
      </c>
      <c r="B11" s="5" t="s">
        <v>10</v>
      </c>
      <c r="C11">
        <v>-9</v>
      </c>
      <c r="D11" s="112">
        <v>-8.6999999999999993</v>
      </c>
      <c r="E11" s="112">
        <v>-1.1000000000000001</v>
      </c>
      <c r="F11" s="112">
        <v>1.1000000000000001</v>
      </c>
      <c r="G11">
        <v>11.5</v>
      </c>
      <c r="H11">
        <v>11.7</v>
      </c>
      <c r="I11">
        <v>-9.02</v>
      </c>
      <c r="J11" s="31">
        <v>-8.8000000000000007</v>
      </c>
      <c r="K11" s="31">
        <v>-1.4</v>
      </c>
      <c r="L11" s="31">
        <v>1.3</v>
      </c>
      <c r="M11">
        <v>13.45</v>
      </c>
      <c r="N11">
        <v>13.76</v>
      </c>
      <c r="O11">
        <v>-11.9</v>
      </c>
      <c r="P11" s="36">
        <v>-11.65</v>
      </c>
      <c r="Q11" s="36">
        <v>-1.6</v>
      </c>
      <c r="R11" s="36">
        <v>1.6</v>
      </c>
      <c r="S11">
        <v>15.35</v>
      </c>
      <c r="T11">
        <v>15.57</v>
      </c>
      <c r="U11">
        <v>-12</v>
      </c>
      <c r="V11" s="36">
        <v>-11.7</v>
      </c>
      <c r="W11" s="36">
        <v>-1.7</v>
      </c>
      <c r="X11">
        <v>1.8</v>
      </c>
      <c r="Y11">
        <v>16.739999999999998</v>
      </c>
      <c r="Z11">
        <v>16.95</v>
      </c>
      <c r="AA11" s="10">
        <v>-15</v>
      </c>
      <c r="AB11" s="34">
        <v>-14.5</v>
      </c>
      <c r="AC11" s="34">
        <v>-1.8</v>
      </c>
      <c r="AD11" s="34">
        <v>1.8</v>
      </c>
      <c r="AE11" s="34">
        <v>15.7</v>
      </c>
      <c r="AF11" s="8">
        <v>17</v>
      </c>
      <c r="AG11" s="16"/>
      <c r="AH11" s="78"/>
      <c r="AI11" s="49"/>
      <c r="AJ11" s="74"/>
      <c r="AK11" s="74"/>
      <c r="AL11" s="75"/>
      <c r="AM11" s="54"/>
      <c r="AN11" s="3"/>
      <c r="AO11" s="82"/>
      <c r="AP11" s="82"/>
      <c r="AQ11" s="83"/>
      <c r="AR11" s="82"/>
      <c r="AS11" s="82"/>
      <c r="AT11" s="82"/>
      <c r="AU11" s="82"/>
      <c r="AW11">
        <v>36.799999999999997</v>
      </c>
      <c r="AX11" s="100">
        <v>28.90428</v>
      </c>
      <c r="AY11">
        <v>-1.8</v>
      </c>
      <c r="AZ11">
        <v>3</v>
      </c>
    </row>
    <row r="12" spans="1:53" x14ac:dyDescent="0.25">
      <c r="A12" s="220"/>
      <c r="B12" s="12" t="s">
        <v>11</v>
      </c>
      <c r="C12" s="30">
        <v>0</v>
      </c>
      <c r="D12" s="31">
        <v>-0.5</v>
      </c>
      <c r="E12">
        <v>-4.3</v>
      </c>
      <c r="F12" s="31">
        <v>-4.3</v>
      </c>
      <c r="G12" s="31">
        <v>-0.6</v>
      </c>
      <c r="H12" s="32">
        <v>0</v>
      </c>
      <c r="I12" s="30">
        <v>0</v>
      </c>
      <c r="J12" s="31">
        <v>-0.6</v>
      </c>
      <c r="K12" s="31">
        <v>-4.4000000000000004</v>
      </c>
      <c r="L12">
        <v>-4.5</v>
      </c>
      <c r="M12" s="31">
        <v>-0.6</v>
      </c>
      <c r="N12" s="32">
        <v>0</v>
      </c>
      <c r="O12" s="30">
        <v>0</v>
      </c>
      <c r="P12" s="31">
        <v>-0.65</v>
      </c>
      <c r="Q12" s="31">
        <v>-4.0999999999999996</v>
      </c>
      <c r="R12">
        <v>-4.0999999999999996</v>
      </c>
      <c r="S12" s="31">
        <v>-0.6</v>
      </c>
      <c r="T12" s="32">
        <v>0</v>
      </c>
      <c r="U12" s="30">
        <v>0</v>
      </c>
      <c r="V12" s="31">
        <v>-0.85</v>
      </c>
      <c r="W12" s="31">
        <v>-4.9000000000000004</v>
      </c>
      <c r="X12">
        <v>-4.9000000000000004</v>
      </c>
      <c r="Y12" s="31">
        <v>-0.65</v>
      </c>
      <c r="Z12" s="32">
        <v>0</v>
      </c>
      <c r="AA12" s="16">
        <v>0</v>
      </c>
      <c r="AB12" s="111">
        <v>-1</v>
      </c>
      <c r="AC12" s="111">
        <v>-5.8</v>
      </c>
      <c r="AD12" s="111">
        <v>-5.8</v>
      </c>
      <c r="AE12" s="111">
        <v>-1</v>
      </c>
      <c r="AF12" s="29">
        <v>0</v>
      </c>
      <c r="AG12" s="16"/>
      <c r="AH12" s="78"/>
      <c r="AI12" s="49"/>
      <c r="AJ12" s="49"/>
      <c r="AK12" s="3"/>
      <c r="AL12" s="75"/>
      <c r="AM12" s="54"/>
      <c r="AN12" s="3"/>
      <c r="AO12" s="3"/>
      <c r="AP12" s="82"/>
      <c r="AQ12" s="83"/>
      <c r="AR12" s="82"/>
      <c r="AS12" s="82"/>
      <c r="AT12" s="82"/>
      <c r="AU12" s="82"/>
      <c r="AW12">
        <v>39.799999999999997</v>
      </c>
      <c r="AX12" s="100">
        <v>9.3618780000000008</v>
      </c>
      <c r="AY12">
        <v>-1.2</v>
      </c>
      <c r="AZ12">
        <v>1.4</v>
      </c>
      <c r="BA12">
        <v>-2.44</v>
      </c>
    </row>
    <row r="13" spans="1:53" ht="15.75" thickBot="1" x14ac:dyDescent="0.3">
      <c r="A13" s="221"/>
      <c r="B13" s="18" t="s">
        <v>12</v>
      </c>
      <c r="C13" s="19"/>
      <c r="D13" s="20"/>
      <c r="E13" s="20"/>
      <c r="F13" s="20"/>
      <c r="G13" s="20"/>
      <c r="H13" s="21"/>
      <c r="I13" s="22"/>
      <c r="J13" s="23"/>
      <c r="K13" s="23"/>
      <c r="L13" s="23"/>
      <c r="M13" s="23"/>
      <c r="N13" s="24"/>
      <c r="O13" s="22">
        <v>5.2</v>
      </c>
      <c r="P13" s="23"/>
      <c r="Q13" s="23"/>
      <c r="R13" s="23"/>
      <c r="S13" s="23"/>
      <c r="T13" s="24"/>
      <c r="U13" s="22">
        <v>5.2</v>
      </c>
      <c r="V13" s="23"/>
      <c r="W13" s="23"/>
      <c r="X13" s="23"/>
      <c r="Y13" s="23"/>
      <c r="Z13" s="24"/>
      <c r="AA13" s="25">
        <v>5.2</v>
      </c>
      <c r="AB13" s="20"/>
      <c r="AC13" s="20"/>
      <c r="AD13" s="20"/>
      <c r="AE13" s="20"/>
      <c r="AF13" s="21"/>
      <c r="AG13" s="16"/>
      <c r="AH13" s="79"/>
      <c r="AI13" s="53"/>
      <c r="AJ13" s="53"/>
      <c r="AK13" s="53"/>
      <c r="AL13" s="80"/>
      <c r="AM13" s="57"/>
      <c r="AN13" s="58"/>
      <c r="AO13" s="58"/>
      <c r="AP13" s="58"/>
      <c r="AQ13" s="84"/>
      <c r="AR13" s="82"/>
      <c r="AS13" s="82"/>
      <c r="AT13" s="82"/>
      <c r="AU13" s="82"/>
      <c r="AW13">
        <f>SUM(AW4:AW12)</f>
        <v>158.30000000000001</v>
      </c>
    </row>
    <row r="14" spans="1:53" x14ac:dyDescent="0.25">
      <c r="A14" s="219" t="s">
        <v>15</v>
      </c>
      <c r="B14" s="5" t="s">
        <v>10</v>
      </c>
      <c r="C14" s="50">
        <v>-8</v>
      </c>
      <c r="D14" s="34">
        <v>-7.8</v>
      </c>
      <c r="E14" s="34">
        <v>-1.4</v>
      </c>
      <c r="F14" s="34">
        <v>1.5</v>
      </c>
      <c r="G14" s="50">
        <v>10.45</v>
      </c>
      <c r="H14" s="50">
        <v>10.75</v>
      </c>
      <c r="I14" s="50">
        <v>-9.5</v>
      </c>
      <c r="J14" s="36">
        <v>-9.3000000000000007</v>
      </c>
      <c r="K14" s="36">
        <v>-1.45</v>
      </c>
      <c r="L14" s="36">
        <v>1.5</v>
      </c>
      <c r="M14" s="50">
        <v>10.8</v>
      </c>
      <c r="N14" s="50">
        <v>11.05</v>
      </c>
      <c r="O14" s="50">
        <v>-12</v>
      </c>
      <c r="P14" s="36">
        <v>-11.73</v>
      </c>
      <c r="Q14" s="36">
        <v>-1.55</v>
      </c>
      <c r="R14" s="36">
        <v>1.65</v>
      </c>
      <c r="S14" s="50">
        <v>10.8</v>
      </c>
      <c r="T14" s="50">
        <v>11.05</v>
      </c>
      <c r="U14" s="50">
        <v>-12.629999999999999</v>
      </c>
      <c r="V14" s="36">
        <v>-12.42</v>
      </c>
      <c r="W14" s="36">
        <v>-1.8</v>
      </c>
      <c r="X14" s="36">
        <v>1.7</v>
      </c>
      <c r="Y14" s="50">
        <v>15.2</v>
      </c>
      <c r="Z14" s="51">
        <v>15.41</v>
      </c>
      <c r="AA14" s="16">
        <v>-15</v>
      </c>
      <c r="AB14" s="111">
        <v>-14.7</v>
      </c>
      <c r="AC14" s="111">
        <v>-1.8</v>
      </c>
      <c r="AD14" s="111">
        <v>1.8</v>
      </c>
      <c r="AE14" s="111">
        <v>14.7</v>
      </c>
      <c r="AF14" s="29">
        <v>15.5</v>
      </c>
      <c r="AG14" s="16"/>
      <c r="AJ14" t="s">
        <v>75</v>
      </c>
      <c r="AM14">
        <f>AA7+AA10</f>
        <v>10</v>
      </c>
      <c r="AN14" s="63"/>
      <c r="AO14" s="63"/>
      <c r="AP14" s="63"/>
      <c r="AQ14" s="63"/>
      <c r="AR14" s="63"/>
      <c r="AS14" s="63"/>
      <c r="AT14" s="63"/>
      <c r="AU14" s="63"/>
    </row>
    <row r="15" spans="1:53" x14ac:dyDescent="0.25">
      <c r="A15" s="220"/>
      <c r="B15" s="12" t="s">
        <v>11</v>
      </c>
      <c r="C15" s="30">
        <v>0</v>
      </c>
      <c r="D15" s="31">
        <v>-0.6</v>
      </c>
      <c r="E15" s="31">
        <v>-3.4</v>
      </c>
      <c r="F15" s="31">
        <v>-3.4</v>
      </c>
      <c r="G15" s="31">
        <v>-0.62</v>
      </c>
      <c r="H15" s="32">
        <v>0</v>
      </c>
      <c r="I15" s="30">
        <v>0</v>
      </c>
      <c r="J15" s="31">
        <v>-0.65</v>
      </c>
      <c r="K15" s="31">
        <v>-4.2</v>
      </c>
      <c r="L15" s="31">
        <v>-4.3</v>
      </c>
      <c r="M15" s="31">
        <v>-0.75</v>
      </c>
      <c r="N15" s="32">
        <v>0</v>
      </c>
      <c r="O15" s="30">
        <v>0</v>
      </c>
      <c r="P15" s="31">
        <v>-0.75</v>
      </c>
      <c r="Q15" s="31">
        <v>-4.5999999999999996</v>
      </c>
      <c r="R15" s="31">
        <v>-4.5999999999999996</v>
      </c>
      <c r="S15" s="31">
        <v>-0.8</v>
      </c>
      <c r="T15" s="32">
        <v>0</v>
      </c>
      <c r="U15" s="30">
        <v>0</v>
      </c>
      <c r="V15" s="31">
        <v>-1.1000000000000001</v>
      </c>
      <c r="W15" s="31">
        <v>-5</v>
      </c>
      <c r="X15" s="31">
        <v>-5</v>
      </c>
      <c r="Y15" s="31">
        <v>-1.1000000000000001</v>
      </c>
      <c r="Z15" s="32">
        <v>0</v>
      </c>
      <c r="AA15" s="16">
        <v>0</v>
      </c>
      <c r="AB15" s="111">
        <v>-1</v>
      </c>
      <c r="AC15" s="111">
        <v>-5.08</v>
      </c>
      <c r="AD15" s="111">
        <v>-5.08</v>
      </c>
      <c r="AE15" s="111">
        <v>-1.2</v>
      </c>
      <c r="AF15" s="29">
        <v>0</v>
      </c>
      <c r="AG15" s="111"/>
      <c r="AJ15" t="s">
        <v>79</v>
      </c>
      <c r="AM15" s="64">
        <f>(AD6+AD9+AD12+AD15)/4</f>
        <v>-4.7449999999999992</v>
      </c>
      <c r="AN15" s="63"/>
      <c r="AO15" s="63"/>
      <c r="AP15" s="63"/>
      <c r="AQ15" s="63"/>
      <c r="AR15" s="63"/>
      <c r="AS15" s="63"/>
      <c r="AT15" s="63"/>
      <c r="AU15" s="63"/>
    </row>
    <row r="16" spans="1:53" ht="15.75" thickBot="1" x14ac:dyDescent="0.3">
      <c r="A16" s="221"/>
      <c r="B16" s="18" t="s">
        <v>12</v>
      </c>
      <c r="C16" s="19"/>
      <c r="D16" s="20"/>
      <c r="E16" s="20"/>
      <c r="F16" s="20"/>
      <c r="G16" s="20"/>
      <c r="H16" s="21"/>
      <c r="I16" s="22"/>
      <c r="J16" s="23"/>
      <c r="K16" s="23"/>
      <c r="L16" s="23"/>
      <c r="M16" s="23"/>
      <c r="N16" s="24"/>
      <c r="O16" s="22"/>
      <c r="P16" s="23"/>
      <c r="Q16" s="23"/>
      <c r="R16" s="23"/>
      <c r="S16" s="23"/>
      <c r="T16" s="24"/>
      <c r="U16" s="22"/>
      <c r="V16" s="23"/>
      <c r="W16" s="23"/>
      <c r="X16" s="23"/>
      <c r="Y16" s="23"/>
      <c r="Z16" s="24"/>
      <c r="AA16" s="25">
        <v>0</v>
      </c>
      <c r="AB16" s="20"/>
      <c r="AC16" s="20"/>
      <c r="AD16" s="20"/>
      <c r="AE16" s="20"/>
      <c r="AF16" s="21"/>
      <c r="AG16" s="111"/>
      <c r="AQ16" s="63"/>
      <c r="AR16" s="63"/>
      <c r="AS16" s="63"/>
      <c r="AT16" s="63"/>
      <c r="AU16" s="63"/>
    </row>
    <row r="17" spans="1:43" x14ac:dyDescent="0.25">
      <c r="AQ17" t="s">
        <v>155</v>
      </c>
    </row>
    <row r="18" spans="1:43" x14ac:dyDescent="0.25">
      <c r="A18" s="47"/>
      <c r="B18" s="63"/>
      <c r="C18">
        <f>(C5*D6)-(C6*D5)</f>
        <v>0</v>
      </c>
      <c r="D18">
        <f t="shared" ref="D18:Y18" si="1">(D5*E6)-(D6*E5)</f>
        <v>0</v>
      </c>
      <c r="E18">
        <f t="shared" si="1"/>
        <v>0</v>
      </c>
      <c r="F18">
        <f t="shared" si="1"/>
        <v>0</v>
      </c>
      <c r="G18">
        <f t="shared" si="1"/>
        <v>0</v>
      </c>
      <c r="H18">
        <f>(H5*C6)-(H6*C5)</f>
        <v>0</v>
      </c>
      <c r="I18">
        <f t="shared" si="1"/>
        <v>0</v>
      </c>
      <c r="J18">
        <f t="shared" si="1"/>
        <v>0</v>
      </c>
      <c r="K18">
        <f t="shared" si="1"/>
        <v>0</v>
      </c>
      <c r="L18">
        <f t="shared" si="1"/>
        <v>0</v>
      </c>
      <c r="M18">
        <f t="shared" si="1"/>
        <v>0</v>
      </c>
      <c r="N18">
        <f>(N5*I6)-(N6*I5)</f>
        <v>0</v>
      </c>
      <c r="O18">
        <f t="shared" si="1"/>
        <v>0</v>
      </c>
      <c r="P18">
        <f t="shared" si="1"/>
        <v>0</v>
      </c>
      <c r="Q18">
        <f t="shared" si="1"/>
        <v>0</v>
      </c>
      <c r="R18">
        <f t="shared" si="1"/>
        <v>0</v>
      </c>
      <c r="S18">
        <f t="shared" si="1"/>
        <v>0</v>
      </c>
      <c r="T18">
        <f>(T5*O6)-(T6*O5)</f>
        <v>0</v>
      </c>
      <c r="U18">
        <f t="shared" si="1"/>
        <v>0</v>
      </c>
      <c r="V18">
        <f t="shared" si="1"/>
        <v>0</v>
      </c>
      <c r="W18">
        <f t="shared" si="1"/>
        <v>0</v>
      </c>
      <c r="X18">
        <f t="shared" si="1"/>
        <v>0</v>
      </c>
      <c r="Y18">
        <f t="shared" si="1"/>
        <v>0</v>
      </c>
      <c r="Z18">
        <f>(Z5*U6)-(Z6*U5)</f>
        <v>0</v>
      </c>
      <c r="AA18">
        <f>(AA5*AB6)-(AA6*AB5)</f>
        <v>7.4400000000000013</v>
      </c>
      <c r="AB18">
        <f>(AB5*AC6)-(AB6*AC5)</f>
        <v>22.9</v>
      </c>
      <c r="AC18">
        <f>(AC5*AD6)-(AC6*AD5)</f>
        <v>27</v>
      </c>
      <c r="AD18">
        <f>(AD5*AE6)-(AD6*AE5)</f>
        <v>23.5</v>
      </c>
      <c r="AE18">
        <f>(AE5*AF6)-(AE6*AF5)</f>
        <v>6.4399999999999995</v>
      </c>
      <c r="AF18">
        <f>(AF5*AA6)-(AF6*AA5)</f>
        <v>0</v>
      </c>
      <c r="AG18">
        <f>ABS(SUM(C18:H18))/2</f>
        <v>0</v>
      </c>
      <c r="AH18">
        <f>ABS(SUM(I18:N18))/2</f>
        <v>0</v>
      </c>
      <c r="AI18">
        <f>ABS(SUM(O18:T18))/2</f>
        <v>0</v>
      </c>
      <c r="AJ18" s="63">
        <f>ABS(SUM(U18:Z18))/2</f>
        <v>0</v>
      </c>
      <c r="AK18" s="63">
        <f>ABS(SUM(AA18:AF18))/2</f>
        <v>43.64</v>
      </c>
      <c r="AO18" s="47">
        <f>Q3</f>
        <v>41491</v>
      </c>
      <c r="AP18" t="s">
        <v>14</v>
      </c>
      <c r="AQ18">
        <f>Q12</f>
        <v>-4.0999999999999996</v>
      </c>
    </row>
    <row r="19" spans="1:43" x14ac:dyDescent="0.25">
      <c r="A19" s="47"/>
      <c r="B19" s="63"/>
      <c r="C19">
        <f>(C8*D9)-(C9*D8)</f>
        <v>0</v>
      </c>
      <c r="D19">
        <f>(D8*E9)-(D9*E8)</f>
        <v>0</v>
      </c>
      <c r="E19">
        <f>(E8*F9)-(E9*F8)</f>
        <v>0</v>
      </c>
      <c r="F19">
        <f>(F8*G9)-(F9*G8)</f>
        <v>0</v>
      </c>
      <c r="G19">
        <f>(G8*H9)-(G9*H8)</f>
        <v>0</v>
      </c>
      <c r="H19">
        <f>(H8*C9)-(H9*C8)</f>
        <v>0</v>
      </c>
      <c r="I19">
        <f>(I8*J9)-(I9*J8)</f>
        <v>0</v>
      </c>
      <c r="J19">
        <f>(J8*K9)-(J9*K8)</f>
        <v>0</v>
      </c>
      <c r="K19">
        <f>(K8*L9)-(K9*L8)</f>
        <v>0</v>
      </c>
      <c r="L19">
        <f>(L8*M9)-(L9*M8)</f>
        <v>0</v>
      </c>
      <c r="M19">
        <f>(M8*N9)-(M9*N8)</f>
        <v>0</v>
      </c>
      <c r="N19">
        <f>(N8*I9)-(N9*I8)</f>
        <v>0</v>
      </c>
      <c r="O19">
        <f>(O8*P9)-(O9*P8)</f>
        <v>0</v>
      </c>
      <c r="P19">
        <f>(P8*Q9)-(P9*Q8)</f>
        <v>0</v>
      </c>
      <c r="Q19">
        <f>(Q8*R9)-(Q9*R8)</f>
        <v>0</v>
      </c>
      <c r="R19">
        <f>(R8*S9)-(R9*S8)</f>
        <v>0</v>
      </c>
      <c r="S19">
        <f>(S8*T9)-(S9*T8)</f>
        <v>0</v>
      </c>
      <c r="T19">
        <f>(T8*O9)-(T9*O8)</f>
        <v>0</v>
      </c>
      <c r="U19">
        <f>(U8*V9)-(U9*V8)</f>
        <v>12.430000000000001</v>
      </c>
      <c r="V19">
        <f>(V8*W9)-(V9*W8)</f>
        <v>44.33</v>
      </c>
      <c r="W19">
        <f>(W8*X9)-(W9*X8)</f>
        <v>22.520000000000003</v>
      </c>
      <c r="X19">
        <f>(X8*Y9)-(X9*Y8)</f>
        <v>41.88</v>
      </c>
      <c r="Y19">
        <f>(Y8*Z9)-(Y9*Z8)</f>
        <v>16.799999999999997</v>
      </c>
      <c r="Z19">
        <f>(Z8*U9)-(Z9*U8)</f>
        <v>0</v>
      </c>
      <c r="AA19">
        <f>(AA8*AB9)-(AA9*AB8)</f>
        <v>24.4</v>
      </c>
      <c r="AB19">
        <f>(AB8*AC9)-(AB9*AC8)</f>
        <v>53.87</v>
      </c>
      <c r="AC19">
        <f>(AC8*AD9)-(AC9*AD8)</f>
        <v>30.089999999999996</v>
      </c>
      <c r="AD19">
        <f>(AD8*AE9)-(AD9*AE8)</f>
        <v>54.3</v>
      </c>
      <c r="AE19">
        <f>(AE8*AF9)-(AE9*AF8)</f>
        <v>29.439999999999998</v>
      </c>
      <c r="AF19">
        <f>(AF8*AA9)-(AF9*AA8)</f>
        <v>0</v>
      </c>
      <c r="AG19">
        <f>ABS(SUM(C19:H19))/2</f>
        <v>0</v>
      </c>
      <c r="AH19">
        <f>ABS(SUM(I19:N19))/2</f>
        <v>0</v>
      </c>
      <c r="AI19">
        <f>ABS(SUM(O19:T19))/2</f>
        <v>0</v>
      </c>
      <c r="AJ19" s="63">
        <f>ABS(SUM(U19:Z19))/2</f>
        <v>68.97999999999999</v>
      </c>
      <c r="AK19" s="63">
        <f>ABS(SUM(AA19:AF19))/2</f>
        <v>96.049999999999983</v>
      </c>
      <c r="AO19" s="47">
        <f>W3</f>
        <v>41499</v>
      </c>
      <c r="AP19" t="s">
        <v>13</v>
      </c>
      <c r="AQ19">
        <f>W9</f>
        <v>-4.3</v>
      </c>
    </row>
    <row r="20" spans="1:43" ht="14.25" customHeight="1" x14ac:dyDescent="0.25">
      <c r="A20" s="47"/>
      <c r="B20" s="63"/>
      <c r="C20">
        <f>(C11*D12)-(C12*D11)</f>
        <v>4.5</v>
      </c>
      <c r="D20">
        <f>(D11*E12)-(D12*E11)</f>
        <v>36.86</v>
      </c>
      <c r="E20">
        <f>(E11*F12)-(E12*F11)</f>
        <v>9.4600000000000009</v>
      </c>
      <c r="F20">
        <f>(F11*G12)-(F12*G11)</f>
        <v>48.79</v>
      </c>
      <c r="G20">
        <f>(G11*H12)-(G12*H11)</f>
        <v>7.02</v>
      </c>
      <c r="H20">
        <f>(H11*C12)-(H12*C11)</f>
        <v>0</v>
      </c>
      <c r="I20">
        <f>(I11*J12)-(I12*J11)</f>
        <v>5.4119999999999999</v>
      </c>
      <c r="J20">
        <f>(J11*K12)-(J12*K11)</f>
        <v>37.880000000000003</v>
      </c>
      <c r="K20">
        <f>(K11*L12)-(K12*L11)</f>
        <v>12.02</v>
      </c>
      <c r="L20">
        <f>(L11*M12)-(L12*M11)</f>
        <v>59.744999999999997</v>
      </c>
      <c r="M20">
        <f>(M11*N12)-(M12*N11)</f>
        <v>8.2560000000000002</v>
      </c>
      <c r="N20">
        <f>(N11*I12)-(N12*I11)</f>
        <v>0</v>
      </c>
      <c r="O20">
        <f>(O11*P12)-(O12*P11)</f>
        <v>7.7350000000000003</v>
      </c>
      <c r="P20">
        <f>(P11*Q12)-(P12*Q11)</f>
        <v>46.725000000000001</v>
      </c>
      <c r="Q20">
        <f>(Q11*R12)-(Q12*R11)</f>
        <v>13.12</v>
      </c>
      <c r="R20">
        <f>(R11*S12)-(R12*S11)</f>
        <v>61.974999999999994</v>
      </c>
      <c r="S20">
        <f>(S11*T12)-(S12*T11)</f>
        <v>9.3420000000000005</v>
      </c>
      <c r="T20">
        <f>(T11*O12)-(T12*O11)</f>
        <v>0</v>
      </c>
      <c r="U20">
        <f>(U11*V12)-(U12*V11)</f>
        <v>10.199999999999999</v>
      </c>
      <c r="V20">
        <f>(V11*W12)-(V12*W11)</f>
        <v>55.884999999999998</v>
      </c>
      <c r="W20">
        <f>(W11*X12)-(W12*X11)</f>
        <v>17.149999999999999</v>
      </c>
      <c r="X20">
        <f>(X11*Y12)-(X12*Y11)</f>
        <v>80.855999999999995</v>
      </c>
      <c r="Y20">
        <f>(Y11*Z12)-(Y12*Z11)</f>
        <v>11.0175</v>
      </c>
      <c r="Z20">
        <f>(Z11*U12)-(Z12*U11)</f>
        <v>0</v>
      </c>
      <c r="AA20">
        <f>(AA11*AB12)-(AA12*AB11)</f>
        <v>15</v>
      </c>
      <c r="AB20">
        <f>(AB11*AC12)-(AB12*AC11)</f>
        <v>82.3</v>
      </c>
      <c r="AC20">
        <f>(AC11*AD12)-(AC12*AD11)</f>
        <v>20.88</v>
      </c>
      <c r="AD20">
        <f>(AD11*AE12)-(AD12*AE11)</f>
        <v>89.259999999999991</v>
      </c>
      <c r="AE20">
        <f>(AE11*AF12)-(AE12*AF11)</f>
        <v>17</v>
      </c>
      <c r="AF20">
        <f>(AF11*AA12)-(AF12*AA11)</f>
        <v>0</v>
      </c>
      <c r="AG20">
        <f>ABS(SUM(C20:H20))/2</f>
        <v>53.314999999999998</v>
      </c>
      <c r="AH20">
        <f>ABS(SUM(I20:N20))/2</f>
        <v>61.656499999999994</v>
      </c>
      <c r="AI20">
        <f>ABS(SUM(O20:T20))/2</f>
        <v>69.44850000000001</v>
      </c>
      <c r="AJ20" s="63">
        <f>ABS(SUM(U20:Z20))/2</f>
        <v>87.554249999999996</v>
      </c>
      <c r="AK20" s="63">
        <f>ABS(SUM(AA20:AF20))/2</f>
        <v>112.22</v>
      </c>
      <c r="AO20" s="47">
        <f>AC3</f>
        <v>41516</v>
      </c>
      <c r="AP20" t="s">
        <v>9</v>
      </c>
      <c r="AQ20">
        <f>AC6</f>
        <v>-3</v>
      </c>
    </row>
    <row r="21" spans="1:43" x14ac:dyDescent="0.25">
      <c r="A21" s="47"/>
      <c r="B21" s="63"/>
      <c r="C21">
        <f>(C14*D15)-(C15*D14)</f>
        <v>4.8</v>
      </c>
      <c r="D21">
        <f t="shared" ref="D21:Y21" si="2">(D14*E15)-(D15*E14)</f>
        <v>25.68</v>
      </c>
      <c r="E21">
        <f t="shared" si="2"/>
        <v>9.86</v>
      </c>
      <c r="F21">
        <f t="shared" si="2"/>
        <v>34.599999999999994</v>
      </c>
      <c r="G21">
        <f t="shared" si="2"/>
        <v>6.665</v>
      </c>
      <c r="H21">
        <f>(H14*C15)-(H15*C14)</f>
        <v>0</v>
      </c>
      <c r="I21">
        <f t="shared" si="2"/>
        <v>6.1749999999999998</v>
      </c>
      <c r="J21">
        <f t="shared" si="2"/>
        <v>38.1175</v>
      </c>
      <c r="K21">
        <f t="shared" si="2"/>
        <v>12.535</v>
      </c>
      <c r="L21">
        <f t="shared" si="2"/>
        <v>45.314999999999998</v>
      </c>
      <c r="M21">
        <f t="shared" si="2"/>
        <v>8.2875000000000014</v>
      </c>
      <c r="N21">
        <f>(N14*I15)-(N15*I14)</f>
        <v>0</v>
      </c>
      <c r="O21">
        <f t="shared" si="2"/>
        <v>9</v>
      </c>
      <c r="P21">
        <f t="shared" si="2"/>
        <v>52.795499999999997</v>
      </c>
      <c r="Q21">
        <f t="shared" si="2"/>
        <v>14.719999999999999</v>
      </c>
      <c r="R21">
        <f t="shared" si="2"/>
        <v>48.36</v>
      </c>
      <c r="S21">
        <f t="shared" si="2"/>
        <v>8.8400000000000016</v>
      </c>
      <c r="T21">
        <f>(T14*O15)-(T15*O14)</f>
        <v>0</v>
      </c>
      <c r="U21">
        <f t="shared" si="2"/>
        <v>13.893000000000001</v>
      </c>
      <c r="V21">
        <f t="shared" si="2"/>
        <v>60.120000000000005</v>
      </c>
      <c r="W21">
        <f t="shared" si="2"/>
        <v>17.5</v>
      </c>
      <c r="X21">
        <f t="shared" si="2"/>
        <v>74.13</v>
      </c>
      <c r="Y21">
        <f t="shared" si="2"/>
        <v>16.951000000000001</v>
      </c>
      <c r="Z21">
        <f>(Z14*U15)-(Z15*U14)</f>
        <v>0</v>
      </c>
      <c r="AA21">
        <f>(AA14*AB15)-(AA15*AB14)</f>
        <v>15</v>
      </c>
      <c r="AB21">
        <f>(AB14*AC15)-(AB15*AC14)</f>
        <v>72.876000000000005</v>
      </c>
      <c r="AC21">
        <f>(AC14*AD15)-(AC15*AD14)</f>
        <v>18.288</v>
      </c>
      <c r="AD21">
        <f>(AD14*AE15)-(AD15*AE14)</f>
        <v>72.516000000000005</v>
      </c>
      <c r="AE21">
        <f>(AE14*AF15)-(AE15*AF14)</f>
        <v>18.599999999999998</v>
      </c>
      <c r="AF21">
        <f>(AF14*AA15)-(AF15*AA14)</f>
        <v>0</v>
      </c>
      <c r="AG21">
        <f>ABS(SUM(C21:H21))/2</f>
        <v>40.802500000000002</v>
      </c>
      <c r="AH21">
        <f>ABS(SUM(I21:N21))/2</f>
        <v>55.215000000000003</v>
      </c>
      <c r="AI21">
        <f>ABS(SUM(O21:T21))/2</f>
        <v>66.857749999999996</v>
      </c>
      <c r="AJ21" s="63">
        <f>ABS(SUM(U21:Z21))/2</f>
        <v>91.296999999999997</v>
      </c>
      <c r="AK21" s="63">
        <f>ABS(SUM(AA21:AF21))/2</f>
        <v>98.64</v>
      </c>
      <c r="AO21" s="47"/>
      <c r="AP21" t="s">
        <v>156</v>
      </c>
      <c r="AQ21">
        <f>AVERAGE(AQ18:AQ20)</f>
        <v>-3.7999999999999994</v>
      </c>
    </row>
    <row r="22" spans="1:43" x14ac:dyDescent="0.25">
      <c r="AO22" s="47"/>
    </row>
    <row r="23" spans="1:43" x14ac:dyDescent="0.25">
      <c r="A23" s="85"/>
      <c r="C23" s="47">
        <f>F3</f>
        <v>41453</v>
      </c>
      <c r="D23" s="47">
        <f>K3</f>
        <v>41478</v>
      </c>
      <c r="E23" s="47">
        <f>Q3</f>
        <v>41491</v>
      </c>
      <c r="F23" s="47">
        <f>W3</f>
        <v>41499</v>
      </c>
      <c r="G23" s="47">
        <f>AC3</f>
        <v>41516</v>
      </c>
      <c r="K23" s="47">
        <v>41930</v>
      </c>
    </row>
    <row r="24" spans="1:43" x14ac:dyDescent="0.25">
      <c r="A24" t="s">
        <v>9</v>
      </c>
      <c r="B24" t="s">
        <v>10</v>
      </c>
      <c r="C24">
        <f>H11-C11</f>
        <v>20.7</v>
      </c>
      <c r="D24">
        <f>N11-I11</f>
        <v>22.78</v>
      </c>
      <c r="E24">
        <f>T11-O11</f>
        <v>27.47</v>
      </c>
      <c r="F24">
        <f>Z11-U11</f>
        <v>28.95</v>
      </c>
      <c r="G24">
        <f>AF11-AA11</f>
        <v>32</v>
      </c>
      <c r="J24">
        <v>0</v>
      </c>
      <c r="O24">
        <v>5.6</v>
      </c>
    </row>
    <row r="25" spans="1:43" x14ac:dyDescent="0.25">
      <c r="B25" t="s">
        <v>11</v>
      </c>
      <c r="C25">
        <f>E12</f>
        <v>-4.3</v>
      </c>
      <c r="D25">
        <f>L12</f>
        <v>-4.5</v>
      </c>
      <c r="E25">
        <f>Q12</f>
        <v>-4.0999999999999996</v>
      </c>
      <c r="F25">
        <f>W9</f>
        <v>-4.3</v>
      </c>
      <c r="G25">
        <f>AC9</f>
        <v>-5.0999999999999996</v>
      </c>
      <c r="J25">
        <v>4</v>
      </c>
      <c r="O25">
        <v>4</v>
      </c>
    </row>
    <row r="26" spans="1:43" x14ac:dyDescent="0.25">
      <c r="B26" t="s">
        <v>12</v>
      </c>
      <c r="C26">
        <f>5.2</f>
        <v>5.2</v>
      </c>
      <c r="D26">
        <f>O13</f>
        <v>5.2</v>
      </c>
      <c r="E26">
        <f>O13</f>
        <v>5.2</v>
      </c>
      <c r="F26">
        <f>U13+U10</f>
        <v>12.7</v>
      </c>
      <c r="G26">
        <f>AA7+F26</f>
        <v>15.2</v>
      </c>
      <c r="J26">
        <v>4.5999999999999996</v>
      </c>
    </row>
    <row r="27" spans="1:43" x14ac:dyDescent="0.25">
      <c r="A27" t="s">
        <v>13</v>
      </c>
      <c r="B27" t="s">
        <v>10</v>
      </c>
      <c r="J27">
        <v>0</v>
      </c>
      <c r="O27">
        <v>10.199999999999999</v>
      </c>
    </row>
    <row r="28" spans="1:43" x14ac:dyDescent="0.25">
      <c r="B28" t="s">
        <v>11</v>
      </c>
      <c r="J28">
        <v>4.3</v>
      </c>
      <c r="O28">
        <v>4.3</v>
      </c>
    </row>
    <row r="29" spans="1:43" x14ac:dyDescent="0.25">
      <c r="B29" t="s">
        <v>12</v>
      </c>
      <c r="J29">
        <v>3</v>
      </c>
    </row>
    <row r="30" spans="1:43" x14ac:dyDescent="0.25">
      <c r="A30" t="s">
        <v>14</v>
      </c>
      <c r="B30" t="s">
        <v>10</v>
      </c>
      <c r="J30">
        <v>0</v>
      </c>
      <c r="O30">
        <v>14.3</v>
      </c>
    </row>
    <row r="31" spans="1:43" x14ac:dyDescent="0.25">
      <c r="B31" t="s">
        <v>11</v>
      </c>
      <c r="J31">
        <v>5</v>
      </c>
      <c r="O31">
        <v>5</v>
      </c>
    </row>
    <row r="32" spans="1:43" x14ac:dyDescent="0.25">
      <c r="B32" t="s">
        <v>12</v>
      </c>
      <c r="J32">
        <v>0</v>
      </c>
    </row>
  </sheetData>
  <mergeCells count="6">
    <mergeCell ref="A14:A16"/>
    <mergeCell ref="AH2:AL2"/>
    <mergeCell ref="AM2:AQ2"/>
    <mergeCell ref="A5:A7"/>
    <mergeCell ref="A8:A10"/>
    <mergeCell ref="A11:A1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Y89"/>
  <sheetViews>
    <sheetView topLeftCell="BB1" zoomScaleNormal="100" workbookViewId="0">
      <selection activeCell="BQ4" sqref="BQ4:BS13"/>
    </sheetView>
  </sheetViews>
  <sheetFormatPr defaultRowHeight="15" x14ac:dyDescent="0.25"/>
  <cols>
    <col min="1" max="1" width="9.140625" style="85"/>
    <col min="2" max="2" width="10.7109375" bestFit="1" customWidth="1"/>
    <col min="6" max="8" width="9.7109375" bestFit="1" customWidth="1"/>
    <col min="9" max="14" width="9.7109375" customWidth="1"/>
    <col min="15" max="18" width="9.7109375" bestFit="1" customWidth="1"/>
    <col min="22" max="22" width="9.7109375" bestFit="1" customWidth="1"/>
    <col min="27" max="27" width="9.7109375" bestFit="1" customWidth="1"/>
    <col min="29" max="29" width="9.7109375" bestFit="1" customWidth="1"/>
    <col min="33" max="33" width="9.7109375" bestFit="1" customWidth="1"/>
    <col min="35" max="35" width="9.7109375" bestFit="1" customWidth="1"/>
    <col min="47" max="47" width="9.7109375" bestFit="1" customWidth="1"/>
    <col min="49" max="49" width="10.28515625" bestFit="1" customWidth="1"/>
    <col min="50" max="51" width="9.28515625" bestFit="1" customWidth="1"/>
    <col min="53" max="53" width="10.85546875" bestFit="1" customWidth="1"/>
    <col min="54" max="54" width="10.42578125" bestFit="1" customWidth="1"/>
    <col min="55" max="55" width="10.85546875" bestFit="1" customWidth="1"/>
    <col min="56" max="56" width="9.7109375" bestFit="1" customWidth="1"/>
    <col min="57" max="57" width="10.42578125" bestFit="1" customWidth="1"/>
    <col min="58" max="58" width="10.85546875" bestFit="1" customWidth="1"/>
    <col min="59" max="59" width="9.7109375" bestFit="1" customWidth="1"/>
    <col min="60" max="60" width="10.42578125" bestFit="1" customWidth="1"/>
    <col min="61" max="61" width="10.85546875" bestFit="1" customWidth="1"/>
    <col min="62" max="62" width="9.7109375" customWidth="1"/>
    <col min="63" max="63" width="10.85546875" bestFit="1" customWidth="1"/>
    <col min="64" max="64" width="9.7109375" bestFit="1" customWidth="1"/>
    <col min="65" max="65" width="9.28515625" bestFit="1" customWidth="1"/>
    <col min="66" max="66" width="10.85546875" bestFit="1" customWidth="1"/>
    <col min="67" max="67" width="9.7109375" customWidth="1"/>
    <col min="68" max="68" width="10.42578125" bestFit="1" customWidth="1"/>
    <col min="69" max="70" width="9.28515625" bestFit="1" customWidth="1"/>
    <col min="74" max="75" width="9.7109375" bestFit="1" customWidth="1"/>
  </cols>
  <sheetData>
    <row r="1" spans="1:73" ht="15.75" thickBot="1" x14ac:dyDescent="0.3">
      <c r="F1" s="47">
        <v>41453</v>
      </c>
      <c r="O1" s="1"/>
      <c r="P1" s="2"/>
      <c r="Q1" s="102">
        <v>41478</v>
      </c>
      <c r="R1" s="2"/>
      <c r="S1" s="2"/>
      <c r="U1" s="2"/>
      <c r="W1" s="47">
        <v>41491</v>
      </c>
      <c r="AA1" s="2"/>
      <c r="AC1" s="47">
        <v>41499</v>
      </c>
      <c r="AI1" s="47">
        <v>41517</v>
      </c>
      <c r="AW1" s="74">
        <f>(1.4*12.4)-((-0.00008*0^5)/5+(0.003*0^4)/4+(0.035*12.4^3)/3-(0.434*12.4^2)/2+(1.406*12.4))</f>
        <v>11.047573333333329</v>
      </c>
      <c r="BA1" s="203" t="s">
        <v>36</v>
      </c>
      <c r="BC1" s="203"/>
      <c r="BD1" s="203"/>
      <c r="BE1" s="203"/>
      <c r="BF1" s="203"/>
      <c r="BG1" s="203"/>
      <c r="BH1" s="68"/>
      <c r="BI1" s="218" t="s">
        <v>42</v>
      </c>
      <c r="BJ1" s="218"/>
      <c r="BK1" s="218"/>
      <c r="BL1" s="218"/>
      <c r="BM1" s="218"/>
      <c r="BN1" s="218"/>
      <c r="BO1" s="200"/>
    </row>
    <row r="2" spans="1:73" x14ac:dyDescent="0.25">
      <c r="C2" t="s">
        <v>0</v>
      </c>
      <c r="J2" s="47">
        <v>41476</v>
      </c>
      <c r="O2" s="47">
        <v>41478</v>
      </c>
      <c r="U2" s="47">
        <v>41491</v>
      </c>
      <c r="AA2" s="47">
        <v>41499</v>
      </c>
      <c r="AG2" s="47">
        <v>41517</v>
      </c>
      <c r="AO2" s="47">
        <v>41523</v>
      </c>
      <c r="AU2" s="47">
        <v>41535</v>
      </c>
      <c r="BA2" s="103">
        <v>41453</v>
      </c>
      <c r="BB2" s="47">
        <v>41476</v>
      </c>
      <c r="BC2" s="104">
        <v>41478</v>
      </c>
      <c r="BD2" s="105">
        <v>41491</v>
      </c>
      <c r="BE2" s="105">
        <v>41499</v>
      </c>
      <c r="BF2" s="106">
        <v>41516</v>
      </c>
      <c r="BG2" s="171">
        <v>41523</v>
      </c>
      <c r="BH2" s="47">
        <v>41535</v>
      </c>
      <c r="BI2" s="103">
        <v>41453</v>
      </c>
      <c r="BJ2" s="105"/>
      <c r="BK2" s="104">
        <v>41478</v>
      </c>
      <c r="BL2" s="105">
        <v>41491</v>
      </c>
      <c r="BM2" s="50" t="s">
        <v>1</v>
      </c>
      <c r="BN2" s="106">
        <v>41516</v>
      </c>
      <c r="BO2" s="171"/>
      <c r="BP2" s="47">
        <v>41535</v>
      </c>
    </row>
    <row r="3" spans="1:73" ht="15.75" thickBot="1" x14ac:dyDescent="0.3">
      <c r="C3" s="46" t="s">
        <v>3</v>
      </c>
      <c r="D3" s="46" t="s">
        <v>4</v>
      </c>
      <c r="E3" s="46" t="s">
        <v>5</v>
      </c>
      <c r="F3" s="46" t="s">
        <v>6</v>
      </c>
      <c r="G3" s="46" t="s">
        <v>7</v>
      </c>
      <c r="H3" s="46" t="s">
        <v>8</v>
      </c>
      <c r="I3" s="201" t="s">
        <v>3</v>
      </c>
      <c r="J3" s="201" t="s">
        <v>4</v>
      </c>
      <c r="K3" s="201" t="s">
        <v>5</v>
      </c>
      <c r="L3" s="201" t="s">
        <v>6</v>
      </c>
      <c r="M3" s="201" t="s">
        <v>7</v>
      </c>
      <c r="N3" s="201" t="s">
        <v>8</v>
      </c>
      <c r="O3" s="46" t="s">
        <v>3</v>
      </c>
      <c r="P3" s="46" t="s">
        <v>4</v>
      </c>
      <c r="Q3" s="46" t="s">
        <v>5</v>
      </c>
      <c r="R3" s="46" t="s">
        <v>6</v>
      </c>
      <c r="S3" s="46" t="s">
        <v>7</v>
      </c>
      <c r="T3" s="46" t="s">
        <v>8</v>
      </c>
      <c r="U3" s="46" t="s">
        <v>3</v>
      </c>
      <c r="V3" s="46" t="s">
        <v>4</v>
      </c>
      <c r="W3" s="46" t="s">
        <v>5</v>
      </c>
      <c r="X3" s="46" t="s">
        <v>6</v>
      </c>
      <c r="Y3" s="46" t="s">
        <v>7</v>
      </c>
      <c r="Z3" s="46" t="s">
        <v>8</v>
      </c>
      <c r="AA3" s="46" t="s">
        <v>3</v>
      </c>
      <c r="AB3" s="46" t="s">
        <v>4</v>
      </c>
      <c r="AC3" s="46" t="s">
        <v>5</v>
      </c>
      <c r="AD3" s="46" t="s">
        <v>6</v>
      </c>
      <c r="AE3" s="46" t="s">
        <v>7</v>
      </c>
      <c r="AF3" s="46" t="s">
        <v>8</v>
      </c>
      <c r="AG3" s="46" t="s">
        <v>3</v>
      </c>
      <c r="AH3" s="46" t="s">
        <v>4</v>
      </c>
      <c r="AI3" s="46" t="s">
        <v>5</v>
      </c>
      <c r="AJ3" s="46" t="s">
        <v>6</v>
      </c>
      <c r="AK3" s="46" t="s">
        <v>7</v>
      </c>
      <c r="AL3" s="46" t="s">
        <v>8</v>
      </c>
      <c r="AM3" s="201" t="s">
        <v>3</v>
      </c>
      <c r="AN3" s="201" t="s">
        <v>4</v>
      </c>
      <c r="AO3" s="201" t="s">
        <v>5</v>
      </c>
      <c r="AP3" s="201" t="s">
        <v>6</v>
      </c>
      <c r="AQ3" s="201" t="s">
        <v>7</v>
      </c>
      <c r="AR3" s="201" t="s">
        <v>8</v>
      </c>
      <c r="AS3" s="46" t="s">
        <v>3</v>
      </c>
      <c r="AT3" s="46" t="s">
        <v>4</v>
      </c>
      <c r="AU3" s="46" t="s">
        <v>5</v>
      </c>
      <c r="AV3" s="46" t="s">
        <v>6</v>
      </c>
      <c r="AW3" s="46" t="s">
        <v>7</v>
      </c>
      <c r="AX3" s="46" t="s">
        <v>8</v>
      </c>
      <c r="AY3" s="177"/>
      <c r="AZ3" s="46"/>
      <c r="BA3" s="70" t="s">
        <v>31</v>
      </c>
      <c r="BB3" s="71" t="s">
        <v>32</v>
      </c>
      <c r="BC3" s="71" t="s">
        <v>33</v>
      </c>
      <c r="BD3" s="71" t="s">
        <v>34</v>
      </c>
      <c r="BE3" s="71" t="s">
        <v>35</v>
      </c>
      <c r="BF3" s="72" t="s">
        <v>44</v>
      </c>
      <c r="BG3" s="72" t="s">
        <v>171</v>
      </c>
      <c r="BH3" s="72" t="s">
        <v>172</v>
      </c>
      <c r="BI3" s="70" t="s">
        <v>37</v>
      </c>
      <c r="BJ3" s="71"/>
      <c r="BK3" s="71" t="s">
        <v>38</v>
      </c>
      <c r="BL3" s="71" t="s">
        <v>39</v>
      </c>
      <c r="BM3" s="71" t="s">
        <v>40</v>
      </c>
      <c r="BN3" s="72" t="s">
        <v>41</v>
      </c>
      <c r="BO3" s="72"/>
      <c r="BP3" s="72" t="s">
        <v>45</v>
      </c>
      <c r="BR3" s="197" t="s">
        <v>10</v>
      </c>
      <c r="BS3" s="197" t="s">
        <v>12</v>
      </c>
    </row>
    <row r="4" spans="1:73" x14ac:dyDescent="0.25">
      <c r="A4" s="223" t="s">
        <v>43</v>
      </c>
      <c r="B4" s="2" t="s">
        <v>10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9"/>
      <c r="AH4" s="49"/>
      <c r="AI4" s="49"/>
      <c r="AJ4" s="49"/>
      <c r="AK4" s="49"/>
      <c r="AL4" s="49"/>
      <c r="AM4" s="50">
        <v>0</v>
      </c>
      <c r="AN4" s="50">
        <v>0.1</v>
      </c>
      <c r="AO4" s="50">
        <v>1.5</v>
      </c>
      <c r="AP4" s="50">
        <v>2.4</v>
      </c>
      <c r="AQ4" s="50">
        <v>2.9</v>
      </c>
      <c r="AR4" s="51">
        <v>3</v>
      </c>
      <c r="AS4" s="50">
        <v>0</v>
      </c>
      <c r="AT4" s="50">
        <v>0.1</v>
      </c>
      <c r="AU4" s="50">
        <v>1.5</v>
      </c>
      <c r="AV4" s="50">
        <v>2.4</v>
      </c>
      <c r="AW4" s="50">
        <v>2.9</v>
      </c>
      <c r="AX4" s="51">
        <v>3</v>
      </c>
      <c r="AY4" s="3">
        <f>AX4-H4</f>
        <v>3</v>
      </c>
      <c r="AZ4" s="3" t="s">
        <v>43</v>
      </c>
      <c r="BA4" s="78"/>
      <c r="BB4" s="78"/>
      <c r="BC4" s="78"/>
      <c r="BD4" s="78"/>
      <c r="BE4" s="78"/>
      <c r="BF4" s="78"/>
      <c r="BG4" s="55">
        <f t="shared" ref="BG4:BH13" si="0">BG66</f>
        <v>8.0149999999999988</v>
      </c>
      <c r="BH4" s="55">
        <f t="shared" si="0"/>
        <v>8.0149999999999988</v>
      </c>
      <c r="BI4" s="87"/>
      <c r="BJ4" s="88"/>
      <c r="BK4" s="88"/>
      <c r="BL4" s="49"/>
      <c r="BM4" s="49"/>
      <c r="BN4" s="49"/>
      <c r="BO4" s="92">
        <f>(BG5+BG4)/2*AS9</f>
        <v>42.958500000000001</v>
      </c>
      <c r="BP4" s="92">
        <f>(BH5+BH4)/2*AS9</f>
        <v>42.958500000000001</v>
      </c>
      <c r="BQ4" t="s">
        <v>43</v>
      </c>
      <c r="BR4">
        <f>AX4</f>
        <v>3</v>
      </c>
      <c r="BS4">
        <f>AS6</f>
        <v>0</v>
      </c>
    </row>
    <row r="5" spans="1:73" x14ac:dyDescent="0.25">
      <c r="A5" s="223"/>
      <c r="B5" s="2" t="s">
        <v>11</v>
      </c>
      <c r="C5" s="49"/>
      <c r="D5" s="49"/>
      <c r="E5" s="49"/>
      <c r="F5" s="184">
        <f>F1</f>
        <v>41453</v>
      </c>
      <c r="G5" s="184">
        <v>41476</v>
      </c>
      <c r="H5" s="184">
        <f>Q1</f>
        <v>41478</v>
      </c>
      <c r="I5" s="184">
        <f>W1</f>
        <v>41491</v>
      </c>
      <c r="J5" s="184">
        <f>AC1</f>
        <v>41499</v>
      </c>
      <c r="K5" s="184">
        <f>AI1</f>
        <v>41517</v>
      </c>
      <c r="L5" s="184">
        <v>41535</v>
      </c>
      <c r="M5" s="184"/>
      <c r="N5" s="184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3">
        <v>2.8</v>
      </c>
      <c r="AN5" s="3">
        <v>0.1</v>
      </c>
      <c r="AO5" s="3">
        <v>0</v>
      </c>
      <c r="AP5" s="3">
        <v>0</v>
      </c>
      <c r="AQ5" s="3">
        <v>0.1</v>
      </c>
      <c r="AR5" s="52">
        <v>2.8</v>
      </c>
      <c r="AS5" s="3">
        <v>2.8</v>
      </c>
      <c r="AT5" s="3">
        <v>0.1</v>
      </c>
      <c r="AU5" s="3">
        <v>0</v>
      </c>
      <c r="AV5" s="3">
        <v>0</v>
      </c>
      <c r="AW5" s="3">
        <v>0.1</v>
      </c>
      <c r="AX5" s="52">
        <v>2.8</v>
      </c>
      <c r="AY5" s="3"/>
      <c r="AZ5" s="3" t="s">
        <v>30</v>
      </c>
      <c r="BA5" s="78"/>
      <c r="BB5" s="78"/>
      <c r="BC5" s="78"/>
      <c r="BD5" s="78"/>
      <c r="BE5" s="78"/>
      <c r="BF5" s="78"/>
      <c r="BG5" s="55">
        <f t="shared" si="0"/>
        <v>25.03</v>
      </c>
      <c r="BH5" s="55">
        <f t="shared" si="0"/>
        <v>25.03</v>
      </c>
      <c r="BI5" s="89"/>
      <c r="BJ5" s="90"/>
      <c r="BK5" s="90"/>
      <c r="BL5" s="49"/>
      <c r="BM5" s="91"/>
      <c r="BN5" s="91"/>
      <c r="BO5" s="83">
        <f>(BG6+BG5)/2*AS12</f>
        <v>90.278500000000008</v>
      </c>
      <c r="BP5" s="83">
        <f>(BH6+BH5)/2*AS12</f>
        <v>90.278500000000008</v>
      </c>
      <c r="BQ5" t="s">
        <v>30</v>
      </c>
      <c r="BR5">
        <f>AX7</f>
        <v>8</v>
      </c>
      <c r="BS5">
        <f>AS9</f>
        <v>2.6</v>
      </c>
    </row>
    <row r="6" spans="1:73" x14ac:dyDescent="0.25">
      <c r="A6" s="223"/>
      <c r="B6" s="2" t="s">
        <v>12</v>
      </c>
      <c r="C6" s="49"/>
      <c r="D6" s="49"/>
      <c r="E6" s="49" t="s">
        <v>10</v>
      </c>
      <c r="F6" s="49">
        <f>H16-C16</f>
        <v>2.2000000000000002</v>
      </c>
      <c r="G6" s="49">
        <f>N16-I16</f>
        <v>3.4</v>
      </c>
      <c r="H6" s="49">
        <f>T16-O16</f>
        <v>5.9</v>
      </c>
      <c r="I6" s="49">
        <f>Z16</f>
        <v>6.8</v>
      </c>
      <c r="J6" s="49">
        <f>AF16</f>
        <v>10.7</v>
      </c>
      <c r="K6" s="49">
        <f>AL16</f>
        <v>11.9</v>
      </c>
      <c r="L6" s="49">
        <v>13</v>
      </c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3">
        <v>0</v>
      </c>
      <c r="AN6" s="3"/>
      <c r="AO6" s="3"/>
      <c r="AP6" s="3"/>
      <c r="AQ6" s="3"/>
      <c r="AR6" s="52"/>
      <c r="AS6" s="3">
        <v>0</v>
      </c>
      <c r="AT6" s="3"/>
      <c r="AU6" s="3"/>
      <c r="AV6" s="3"/>
      <c r="AW6" s="3"/>
      <c r="AX6" s="52"/>
      <c r="AY6" s="3"/>
      <c r="AZ6" s="3" t="s">
        <v>29</v>
      </c>
      <c r="BA6" s="78"/>
      <c r="BB6" s="78"/>
      <c r="BC6" s="78"/>
      <c r="BD6" s="78"/>
      <c r="BE6" s="55"/>
      <c r="BF6" s="55">
        <f t="shared" ref="BF6:BF13" si="1">BF68</f>
        <v>19.220000000000002</v>
      </c>
      <c r="BG6" s="55">
        <f t="shared" si="0"/>
        <v>28.074999999999999</v>
      </c>
      <c r="BH6" s="55">
        <f t="shared" si="0"/>
        <v>28.074999999999999</v>
      </c>
      <c r="BI6" s="89"/>
      <c r="BJ6" s="90"/>
      <c r="BK6" s="90"/>
      <c r="BL6" s="49"/>
      <c r="BM6" s="91"/>
      <c r="BN6" s="82">
        <f>(BF7+BF6)/2*$AS$15</f>
        <v>129.26900000000003</v>
      </c>
      <c r="BO6" s="83">
        <f>(BG7+BG6)/2*$AS$15</f>
        <v>155.93700000000001</v>
      </c>
      <c r="BP6" s="83">
        <f>(BH7+BH6)/2*$AS$15</f>
        <v>155.93700000000001</v>
      </c>
      <c r="BQ6" t="s">
        <v>29</v>
      </c>
      <c r="BR6">
        <f>AX10</f>
        <v>9.3000000000000007</v>
      </c>
      <c r="BS6">
        <f>AS12</f>
        <v>3.4</v>
      </c>
    </row>
    <row r="7" spans="1:73" x14ac:dyDescent="0.25">
      <c r="A7" s="223" t="s">
        <v>30</v>
      </c>
      <c r="B7" s="2" t="s">
        <v>10</v>
      </c>
      <c r="C7" s="49"/>
      <c r="D7" s="49"/>
      <c r="E7" s="49" t="s">
        <v>11</v>
      </c>
      <c r="F7" s="49">
        <f>C17</f>
        <v>3</v>
      </c>
      <c r="G7" s="49">
        <f>I17</f>
        <v>3</v>
      </c>
      <c r="H7" s="49">
        <f>O17</f>
        <v>4.2</v>
      </c>
      <c r="I7" s="49">
        <f>Z17</f>
        <v>4.4000000000000004</v>
      </c>
      <c r="J7" s="49">
        <f>AF17</f>
        <v>4.5999999999999996</v>
      </c>
      <c r="K7" s="49">
        <f>AL14</f>
        <v>3</v>
      </c>
      <c r="L7" s="49">
        <v>4.3</v>
      </c>
      <c r="M7" s="49"/>
      <c r="N7" s="49"/>
      <c r="O7" s="49"/>
      <c r="P7" s="49"/>
      <c r="Q7" s="49"/>
      <c r="R7" s="49"/>
      <c r="S7" s="49"/>
      <c r="T7" s="49"/>
      <c r="U7" s="49"/>
      <c r="V7" s="184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3">
        <v>0</v>
      </c>
      <c r="AN7" s="3">
        <v>0.2</v>
      </c>
      <c r="AO7" s="3">
        <v>4.7</v>
      </c>
      <c r="AP7" s="3">
        <v>5.5</v>
      </c>
      <c r="AQ7" s="3">
        <v>7.7</v>
      </c>
      <c r="AR7" s="52">
        <v>8</v>
      </c>
      <c r="AS7" s="3">
        <v>0</v>
      </c>
      <c r="AT7" s="3">
        <v>0.2</v>
      </c>
      <c r="AU7" s="3">
        <v>4.7</v>
      </c>
      <c r="AV7" s="3">
        <v>5.5</v>
      </c>
      <c r="AW7" s="3">
        <v>7.7</v>
      </c>
      <c r="AX7" s="52">
        <v>8</v>
      </c>
      <c r="AY7" s="3">
        <f>AX7-I7</f>
        <v>3.5999999999999996</v>
      </c>
      <c r="AZ7" s="1" t="s">
        <v>28</v>
      </c>
      <c r="BA7" s="78"/>
      <c r="BB7" s="78"/>
      <c r="BC7" s="78"/>
      <c r="BD7" s="78"/>
      <c r="BE7" s="55">
        <f t="shared" ref="BE7:BE13" si="2">BE69</f>
        <v>22.630000000000003</v>
      </c>
      <c r="BF7" s="55">
        <f t="shared" si="1"/>
        <v>24.6</v>
      </c>
      <c r="BG7" s="55">
        <f t="shared" si="0"/>
        <v>24.785</v>
      </c>
      <c r="BH7" s="55">
        <f t="shared" si="0"/>
        <v>24.785</v>
      </c>
      <c r="BI7" s="89"/>
      <c r="BJ7" s="90"/>
      <c r="BK7" s="90"/>
      <c r="BL7" s="49"/>
      <c r="BM7" s="82">
        <f>(BE8+BE7)/2*$AS$18</f>
        <v>113.83649999999997</v>
      </c>
      <c r="BN7" s="82">
        <f>(BF8+BF7)/2*$AS$18</f>
        <v>119.6626</v>
      </c>
      <c r="BO7" s="83">
        <f>(BG8+BG7)/2*$AS$18</f>
        <v>123.74824999999998</v>
      </c>
      <c r="BP7" s="83">
        <f>(BH8+BH7)/2*$AS$18</f>
        <v>123.74824999999998</v>
      </c>
      <c r="BQ7" t="s">
        <v>28</v>
      </c>
      <c r="BR7">
        <f>AX113</f>
        <v>0</v>
      </c>
      <c r="BS7">
        <f>AS15</f>
        <v>5.9</v>
      </c>
    </row>
    <row r="8" spans="1:73" x14ac:dyDescent="0.25">
      <c r="A8" s="223"/>
      <c r="B8" s="2" t="s">
        <v>11</v>
      </c>
      <c r="C8" s="49"/>
      <c r="D8" s="49"/>
      <c r="E8" s="49" t="s">
        <v>12</v>
      </c>
      <c r="F8" s="49">
        <f>C18</f>
        <v>4.0999999999999996</v>
      </c>
      <c r="G8" s="49">
        <f>I18</f>
        <v>4.0999999999999996</v>
      </c>
      <c r="H8" s="49">
        <f>O18</f>
        <v>4.0999999999999996</v>
      </c>
      <c r="I8" s="49">
        <f>U18</f>
        <v>4.0999999999999996</v>
      </c>
      <c r="J8" s="49">
        <f>AA18+AA15</f>
        <v>10</v>
      </c>
      <c r="K8" s="49">
        <f>AG18+AG15+AG12</f>
        <v>13.4</v>
      </c>
      <c r="L8" s="49">
        <f>K8+2.8</f>
        <v>16.2</v>
      </c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3">
        <v>3.9</v>
      </c>
      <c r="AN8" s="3">
        <v>1.1999999999999997</v>
      </c>
      <c r="AO8" s="3">
        <v>0</v>
      </c>
      <c r="AP8" s="3">
        <v>0</v>
      </c>
      <c r="AQ8" s="3">
        <v>1.9</v>
      </c>
      <c r="AR8" s="52">
        <v>3.9</v>
      </c>
      <c r="AS8" s="3">
        <v>3.9</v>
      </c>
      <c r="AT8" s="3">
        <v>1.1999999999999997</v>
      </c>
      <c r="AU8" s="3">
        <v>0</v>
      </c>
      <c r="AV8" s="3">
        <v>0</v>
      </c>
      <c r="AW8" s="3">
        <v>1.9</v>
      </c>
      <c r="AX8" s="52">
        <v>3.9</v>
      </c>
      <c r="AY8" s="3"/>
      <c r="AZ8" s="1" t="s">
        <v>27</v>
      </c>
      <c r="BA8" s="55">
        <f t="shared" ref="BA8:BB13" si="3">AZ70</f>
        <v>3.42</v>
      </c>
      <c r="BB8" s="55">
        <f t="shared" si="3"/>
        <v>4.9649999999999999</v>
      </c>
      <c r="BC8" s="55">
        <f t="shared" ref="BC8:BD13" si="4">BC70</f>
        <v>17.399999999999999</v>
      </c>
      <c r="BD8" s="55">
        <f t="shared" si="4"/>
        <v>21.42</v>
      </c>
      <c r="BE8" s="55">
        <f t="shared" si="2"/>
        <v>32.899999999999991</v>
      </c>
      <c r="BF8" s="55">
        <f t="shared" si="1"/>
        <v>33.772000000000006</v>
      </c>
      <c r="BG8" s="55">
        <f t="shared" si="0"/>
        <v>35.58</v>
      </c>
      <c r="BH8" s="55">
        <f t="shared" si="0"/>
        <v>35.58</v>
      </c>
      <c r="BI8" s="73">
        <f t="shared" ref="BI8:BN8" si="5">(BA8+BA9)/2*$AS$21</f>
        <v>19.975499999999997</v>
      </c>
      <c r="BJ8" s="73">
        <f t="shared" si="5"/>
        <v>21.752249999999997</v>
      </c>
      <c r="BK8" s="82">
        <f t="shared" si="5"/>
        <v>39.744</v>
      </c>
      <c r="BL8" s="82">
        <f t="shared" si="5"/>
        <v>46.8855</v>
      </c>
      <c r="BM8" s="82">
        <f t="shared" si="5"/>
        <v>74.301499999999976</v>
      </c>
      <c r="BN8" s="82">
        <f t="shared" si="5"/>
        <v>78.294299999999993</v>
      </c>
      <c r="BO8" s="83">
        <f t="shared" ref="BO8:BP8" si="6">(BG8+BG9)/2*$AS$21</f>
        <v>87.894500000000008</v>
      </c>
      <c r="BP8" s="83">
        <f t="shared" si="6"/>
        <v>87.894500000000008</v>
      </c>
      <c r="BQ8" t="s">
        <v>27</v>
      </c>
      <c r="BR8">
        <f>AX16</f>
        <v>13</v>
      </c>
      <c r="BS8">
        <f>AS18</f>
        <v>4.0999999999999996</v>
      </c>
    </row>
    <row r="9" spans="1:73" ht="15.75" thickBot="1" x14ac:dyDescent="0.3">
      <c r="A9" s="223"/>
      <c r="B9" s="2" t="s">
        <v>12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53"/>
      <c r="AH9" s="53"/>
      <c r="AI9" s="53"/>
      <c r="AJ9" s="53"/>
      <c r="AK9" s="53"/>
      <c r="AL9" s="53"/>
      <c r="AM9" s="3">
        <v>2.6</v>
      </c>
      <c r="AN9" s="3"/>
      <c r="AO9" s="3"/>
      <c r="AP9" s="3"/>
      <c r="AQ9" s="3"/>
      <c r="AR9" s="52"/>
      <c r="AS9" s="3">
        <v>2.6</v>
      </c>
      <c r="AT9" s="3"/>
      <c r="AU9" s="3"/>
      <c r="AV9" s="3"/>
      <c r="AW9" s="3"/>
      <c r="AX9" s="52"/>
      <c r="AY9" s="3"/>
      <c r="AZ9" s="1" t="s">
        <v>26</v>
      </c>
      <c r="BA9" s="55">
        <f t="shared" si="3"/>
        <v>13.949999999999998</v>
      </c>
      <c r="BB9" s="55">
        <f t="shared" si="3"/>
        <v>13.949999999999998</v>
      </c>
      <c r="BC9" s="55">
        <f t="shared" si="4"/>
        <v>17.16</v>
      </c>
      <c r="BD9" s="55">
        <f t="shared" si="4"/>
        <v>19.350000000000001</v>
      </c>
      <c r="BE9" s="55">
        <f t="shared" si="2"/>
        <v>31.71</v>
      </c>
      <c r="BF9" s="55">
        <f t="shared" si="1"/>
        <v>34.309999999999995</v>
      </c>
      <c r="BG9" s="55">
        <f t="shared" si="0"/>
        <v>40.850000000000009</v>
      </c>
      <c r="BH9" s="55">
        <f t="shared" si="0"/>
        <v>40.850000000000009</v>
      </c>
      <c r="BI9" s="73">
        <f t="shared" ref="BI9:BN9" si="7">(BA9+BA10)/2*$AS$24</f>
        <v>17.447999999999997</v>
      </c>
      <c r="BJ9" s="73">
        <f t="shared" si="7"/>
        <v>17.447999999999997</v>
      </c>
      <c r="BK9" s="82">
        <f t="shared" si="7"/>
        <v>20.504999999999999</v>
      </c>
      <c r="BL9" s="82">
        <f t="shared" si="7"/>
        <v>28.242000000000004</v>
      </c>
      <c r="BM9" s="82">
        <f t="shared" si="7"/>
        <v>42.804000000000002</v>
      </c>
      <c r="BN9" s="82">
        <f t="shared" si="7"/>
        <v>44.381999999999998</v>
      </c>
      <c r="BO9" s="83">
        <f t="shared" ref="BO9:BP9" si="8">(BG9+BG10)/2*$AS$24</f>
        <v>52.088999999999999</v>
      </c>
      <c r="BP9" s="83">
        <f t="shared" si="8"/>
        <v>52.088999999999999</v>
      </c>
      <c r="BQ9" t="s">
        <v>26</v>
      </c>
      <c r="BR9">
        <f>AX19</f>
        <v>13.4</v>
      </c>
      <c r="BS9">
        <f>AS21</f>
        <v>2.2999999999999998</v>
      </c>
    </row>
    <row r="10" spans="1:73" x14ac:dyDescent="0.25">
      <c r="A10" s="223" t="s">
        <v>29</v>
      </c>
      <c r="B10" s="2" t="s">
        <v>10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3">
        <v>0</v>
      </c>
      <c r="AH10" s="3">
        <v>0.1</v>
      </c>
      <c r="AI10" s="3">
        <v>3</v>
      </c>
      <c r="AJ10" s="3">
        <v>3.6</v>
      </c>
      <c r="AK10" s="3">
        <v>6.3</v>
      </c>
      <c r="AL10" s="52">
        <v>6.4</v>
      </c>
      <c r="AM10" s="54">
        <v>0</v>
      </c>
      <c r="AN10" s="3">
        <v>0.2</v>
      </c>
      <c r="AO10" s="3">
        <v>4.5</v>
      </c>
      <c r="AP10" s="3">
        <v>5.5</v>
      </c>
      <c r="AQ10" s="3">
        <v>9</v>
      </c>
      <c r="AR10" s="52">
        <v>9.3000000000000007</v>
      </c>
      <c r="AS10" s="54">
        <v>0</v>
      </c>
      <c r="AT10" s="3">
        <v>0.2</v>
      </c>
      <c r="AU10" s="3">
        <v>4.5</v>
      </c>
      <c r="AV10" s="3">
        <v>5.5</v>
      </c>
      <c r="AW10" s="3">
        <v>9</v>
      </c>
      <c r="AX10" s="52">
        <v>9.3000000000000007</v>
      </c>
      <c r="AY10" s="3">
        <f>AX10-H10</f>
        <v>9.3000000000000007</v>
      </c>
      <c r="AZ10" s="1" t="s">
        <v>25</v>
      </c>
      <c r="BA10" s="55">
        <f t="shared" si="3"/>
        <v>15.130000000000003</v>
      </c>
      <c r="BB10" s="55">
        <f t="shared" si="3"/>
        <v>15.130000000000003</v>
      </c>
      <c r="BC10" s="55">
        <f t="shared" si="4"/>
        <v>17.015000000000001</v>
      </c>
      <c r="BD10" s="55">
        <f t="shared" si="4"/>
        <v>27.720000000000002</v>
      </c>
      <c r="BE10" s="55">
        <f t="shared" si="2"/>
        <v>39.629999999999995</v>
      </c>
      <c r="BF10" s="55">
        <f t="shared" si="1"/>
        <v>39.660000000000004</v>
      </c>
      <c r="BG10" s="55">
        <f t="shared" si="0"/>
        <v>45.964999999999996</v>
      </c>
      <c r="BH10" s="55">
        <f t="shared" si="0"/>
        <v>45.964999999999996</v>
      </c>
      <c r="BI10" s="73">
        <f t="shared" ref="BI10:BN10" si="9">(BA10+BA11)/2*$AS$27</f>
        <v>70.111499999999992</v>
      </c>
      <c r="BJ10" s="73">
        <f t="shared" si="9"/>
        <v>70.111499999999992</v>
      </c>
      <c r="BK10" s="82">
        <f t="shared" si="9"/>
        <v>86.752499999999998</v>
      </c>
      <c r="BL10" s="82">
        <f t="shared" si="9"/>
        <v>120.20649999999999</v>
      </c>
      <c r="BM10" s="82">
        <f t="shared" si="9"/>
        <v>176.12154999999998</v>
      </c>
      <c r="BN10" s="82">
        <f t="shared" si="9"/>
        <v>197.72475</v>
      </c>
      <c r="BO10" s="83">
        <f t="shared" ref="BO10:BP10" si="10">(BG10+BG11)/2*$AS$27</f>
        <v>243.14349999999999</v>
      </c>
      <c r="BP10" s="83">
        <f t="shared" si="10"/>
        <v>243.14349999999999</v>
      </c>
      <c r="BQ10" t="s">
        <v>25</v>
      </c>
      <c r="BR10">
        <f>AX22</f>
        <v>13.4</v>
      </c>
      <c r="BS10">
        <f>AS24</f>
        <v>1.2</v>
      </c>
    </row>
    <row r="11" spans="1:73" x14ac:dyDescent="0.25">
      <c r="A11" s="223"/>
      <c r="B11" s="2" t="s">
        <v>11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3">
        <v>3.6</v>
      </c>
      <c r="AH11" s="3">
        <v>1</v>
      </c>
      <c r="AI11" s="3">
        <v>0</v>
      </c>
      <c r="AJ11" s="3">
        <v>0</v>
      </c>
      <c r="AK11" s="3">
        <v>1.4</v>
      </c>
      <c r="AL11" s="52">
        <v>3.6</v>
      </c>
      <c r="AM11" s="54">
        <v>4.3</v>
      </c>
      <c r="AN11" s="3">
        <v>2.1999999999999997</v>
      </c>
      <c r="AO11" s="3">
        <v>0</v>
      </c>
      <c r="AP11" s="3">
        <v>0</v>
      </c>
      <c r="AQ11" s="3">
        <v>3.0999999999999996</v>
      </c>
      <c r="AR11" s="52">
        <v>4.3</v>
      </c>
      <c r="AS11" s="54">
        <v>4.3</v>
      </c>
      <c r="AT11" s="3">
        <v>2.1999999999999997</v>
      </c>
      <c r="AU11" s="3">
        <v>0</v>
      </c>
      <c r="AV11" s="3">
        <v>0</v>
      </c>
      <c r="AW11" s="3">
        <v>3.0999999999999996</v>
      </c>
      <c r="AX11" s="52">
        <v>4.3</v>
      </c>
      <c r="AY11" s="3"/>
      <c r="AZ11" s="1" t="s">
        <v>24</v>
      </c>
      <c r="BA11" s="55">
        <f t="shared" si="3"/>
        <v>17.48</v>
      </c>
      <c r="BB11" s="55">
        <f t="shared" si="3"/>
        <v>17.48</v>
      </c>
      <c r="BC11" s="55">
        <f t="shared" si="4"/>
        <v>23.335000000000001</v>
      </c>
      <c r="BD11" s="55">
        <f t="shared" si="4"/>
        <v>28.189999999999994</v>
      </c>
      <c r="BE11" s="55">
        <f t="shared" si="2"/>
        <v>42.286999999999999</v>
      </c>
      <c r="BF11" s="55">
        <f t="shared" si="1"/>
        <v>52.305</v>
      </c>
      <c r="BG11" s="55">
        <f t="shared" si="0"/>
        <v>67.125</v>
      </c>
      <c r="BH11" s="55">
        <f t="shared" si="0"/>
        <v>67.125</v>
      </c>
      <c r="BI11" s="73">
        <f t="shared" ref="BI11:BN11" si="11">(BA11+BA12)/2*$AS$30</f>
        <v>256.31775000000005</v>
      </c>
      <c r="BJ11" s="73">
        <f t="shared" si="11"/>
        <v>256.31775000000005</v>
      </c>
      <c r="BK11" s="82">
        <f t="shared" si="11"/>
        <v>330.10475000000002</v>
      </c>
      <c r="BL11" s="82">
        <f t="shared" si="11"/>
        <v>390.77899999999994</v>
      </c>
      <c r="BM11" s="82">
        <f t="shared" si="11"/>
        <v>552.74527499999999</v>
      </c>
      <c r="BN11" s="82">
        <f t="shared" si="11"/>
        <v>741.17199999999991</v>
      </c>
      <c r="BO11" s="83">
        <f t="shared" ref="BO11:BP11" si="12">(BG11+BG12)/2*$AS$30</f>
        <v>908.20875000000001</v>
      </c>
      <c r="BP11" s="83">
        <f t="shared" si="12"/>
        <v>908.20875000000001</v>
      </c>
      <c r="BQ11" t="s">
        <v>24</v>
      </c>
      <c r="BR11">
        <f>AX25</f>
        <v>16.600000000000001</v>
      </c>
      <c r="BS11">
        <f>AS27</f>
        <v>4.3</v>
      </c>
    </row>
    <row r="12" spans="1:73" ht="15.75" thickBot="1" x14ac:dyDescent="0.3">
      <c r="A12" s="223"/>
      <c r="B12" s="2" t="s">
        <v>12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3"/>
      <c r="AB12" s="53"/>
      <c r="AC12" s="53"/>
      <c r="AD12" s="53"/>
      <c r="AE12" s="53"/>
      <c r="AF12" s="53"/>
      <c r="AG12" s="3">
        <v>3.4</v>
      </c>
      <c r="AH12" s="3"/>
      <c r="AI12" s="3"/>
      <c r="AJ12" s="3"/>
      <c r="AK12" s="3"/>
      <c r="AL12" s="52"/>
      <c r="AM12" s="54">
        <v>3.4</v>
      </c>
      <c r="AN12" s="3"/>
      <c r="AO12" s="3"/>
      <c r="AP12" s="3"/>
      <c r="AQ12" s="3"/>
      <c r="AR12" s="52"/>
      <c r="AS12" s="54">
        <v>3.4</v>
      </c>
      <c r="AT12" s="3"/>
      <c r="AU12" s="3"/>
      <c r="AV12" s="3"/>
      <c r="AW12" s="3"/>
      <c r="AX12" s="52"/>
      <c r="AY12" s="3"/>
      <c r="AZ12" s="1" t="s">
        <v>23</v>
      </c>
      <c r="BA12" s="55">
        <f t="shared" si="3"/>
        <v>22.885000000000005</v>
      </c>
      <c r="BB12" s="55">
        <f t="shared" si="3"/>
        <v>22.885000000000005</v>
      </c>
      <c r="BC12" s="55">
        <f t="shared" si="4"/>
        <v>28.650000000000006</v>
      </c>
      <c r="BD12" s="55">
        <f t="shared" si="4"/>
        <v>33.349999999999994</v>
      </c>
      <c r="BE12" s="55">
        <f t="shared" si="2"/>
        <v>44.75950000000001</v>
      </c>
      <c r="BF12" s="55">
        <f t="shared" si="1"/>
        <v>64.414999999999992</v>
      </c>
      <c r="BG12" s="55">
        <f t="shared" si="0"/>
        <v>75.900000000000006</v>
      </c>
      <c r="BH12" s="55">
        <f t="shared" si="0"/>
        <v>75.900000000000006</v>
      </c>
      <c r="BI12" s="73">
        <f t="shared" ref="BI12:BN12" si="13">(BA12+BA13)/2*$AS$33</f>
        <v>904.46249999999986</v>
      </c>
      <c r="BJ12" s="73">
        <f t="shared" si="13"/>
        <v>904.46249999999986</v>
      </c>
      <c r="BK12" s="82">
        <f t="shared" si="13"/>
        <v>957.3552000000002</v>
      </c>
      <c r="BL12" s="82">
        <f t="shared" si="13"/>
        <v>948.11700000000008</v>
      </c>
      <c r="BM12" s="82">
        <f t="shared" si="13"/>
        <v>1470.8896499999998</v>
      </c>
      <c r="BN12" s="82">
        <f t="shared" si="13"/>
        <v>1615.9285</v>
      </c>
      <c r="BO12" s="83">
        <f t="shared" ref="BO12:BP12" si="14">(BG12+BG13)/2*$AS$33</f>
        <v>1882.6170000000002</v>
      </c>
      <c r="BP12" s="83">
        <f t="shared" si="14"/>
        <v>1882.6170000000002</v>
      </c>
      <c r="BQ12" t="s">
        <v>23</v>
      </c>
      <c r="BR12">
        <f>AX28</f>
        <v>17.100000000000001</v>
      </c>
      <c r="BS12">
        <f>AS30</f>
        <v>12.7</v>
      </c>
    </row>
    <row r="13" spans="1:73" ht="15.75" thickBot="1" x14ac:dyDescent="0.3">
      <c r="A13" s="223" t="s">
        <v>28</v>
      </c>
      <c r="B13" s="2" t="s">
        <v>10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3">
        <v>0</v>
      </c>
      <c r="AB13" s="3">
        <v>0.2</v>
      </c>
      <c r="AC13" s="3">
        <v>4</v>
      </c>
      <c r="AD13" s="3">
        <v>4.8</v>
      </c>
      <c r="AE13" s="3">
        <v>7.9</v>
      </c>
      <c r="AF13" s="52">
        <v>8</v>
      </c>
      <c r="AG13" s="54">
        <v>0</v>
      </c>
      <c r="AH13" s="3">
        <v>0.2</v>
      </c>
      <c r="AI13" s="3">
        <v>4.5</v>
      </c>
      <c r="AJ13" s="3">
        <v>5.5</v>
      </c>
      <c r="AK13" s="3">
        <v>9.9</v>
      </c>
      <c r="AL13" s="52">
        <v>10</v>
      </c>
      <c r="AM13" s="54">
        <v>0</v>
      </c>
      <c r="AN13" s="3">
        <v>0.2</v>
      </c>
      <c r="AO13" s="3">
        <v>4.3</v>
      </c>
      <c r="AP13" s="3">
        <v>5.9</v>
      </c>
      <c r="AQ13" s="3">
        <v>9.6999999999999993</v>
      </c>
      <c r="AR13" s="52">
        <v>10</v>
      </c>
      <c r="AS13" s="54">
        <v>0</v>
      </c>
      <c r="AT13" s="3">
        <v>0.2</v>
      </c>
      <c r="AU13" s="3">
        <v>4.3</v>
      </c>
      <c r="AV13" s="3">
        <v>5.9</v>
      </c>
      <c r="AW13" s="3">
        <v>9.6999999999999993</v>
      </c>
      <c r="AX13" s="52">
        <v>10</v>
      </c>
      <c r="AY13" s="3">
        <f>AX13-H13</f>
        <v>10</v>
      </c>
      <c r="AZ13" s="1" t="s">
        <v>22</v>
      </c>
      <c r="BA13" s="55">
        <f t="shared" si="3"/>
        <v>78.739999999999981</v>
      </c>
      <c r="BB13" s="55">
        <f t="shared" si="3"/>
        <v>78.739999999999981</v>
      </c>
      <c r="BC13" s="55">
        <f t="shared" si="4"/>
        <v>78.918000000000006</v>
      </c>
      <c r="BD13" s="55">
        <f t="shared" si="4"/>
        <v>73.180000000000007</v>
      </c>
      <c r="BE13" s="55">
        <f t="shared" si="2"/>
        <v>120.50899999999999</v>
      </c>
      <c r="BF13" s="55">
        <f t="shared" si="1"/>
        <v>117.14999999999999</v>
      </c>
      <c r="BG13" s="55">
        <f t="shared" si="0"/>
        <v>135.63</v>
      </c>
      <c r="BH13" s="55">
        <f t="shared" si="0"/>
        <v>135.63</v>
      </c>
      <c r="BI13" s="57"/>
      <c r="BJ13" s="57"/>
      <c r="BK13" s="58"/>
      <c r="BL13" s="58"/>
      <c r="BM13" s="58"/>
      <c r="BN13" s="58"/>
      <c r="BO13" s="59"/>
      <c r="BP13" s="59"/>
      <c r="BQ13" t="s">
        <v>22</v>
      </c>
      <c r="BR13">
        <f>AX31</f>
        <v>33.799999999999997</v>
      </c>
      <c r="BS13">
        <f>AS33</f>
        <v>17.8</v>
      </c>
    </row>
    <row r="14" spans="1:73" x14ac:dyDescent="0.25">
      <c r="A14" s="223"/>
      <c r="B14" s="2" t="s">
        <v>11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3">
        <v>3</v>
      </c>
      <c r="AB14" s="3">
        <v>0.3</v>
      </c>
      <c r="AC14" s="3">
        <v>0</v>
      </c>
      <c r="AD14" s="3">
        <v>0</v>
      </c>
      <c r="AE14" s="3">
        <v>0.2</v>
      </c>
      <c r="AF14" s="52">
        <v>3</v>
      </c>
      <c r="AG14" s="54">
        <v>3</v>
      </c>
      <c r="AH14" s="3">
        <v>1.3</v>
      </c>
      <c r="AI14" s="3">
        <v>0</v>
      </c>
      <c r="AJ14" s="3">
        <v>0</v>
      </c>
      <c r="AK14" s="3">
        <v>0.9</v>
      </c>
      <c r="AL14" s="52">
        <v>3</v>
      </c>
      <c r="AM14" s="54">
        <v>3.1</v>
      </c>
      <c r="AN14" s="3">
        <v>1.1000000000000001</v>
      </c>
      <c r="AO14" s="3">
        <v>0</v>
      </c>
      <c r="AP14" s="3">
        <v>0</v>
      </c>
      <c r="AQ14" s="3">
        <v>1.5</v>
      </c>
      <c r="AR14" s="52">
        <v>3.1</v>
      </c>
      <c r="AS14" s="54">
        <v>3.1</v>
      </c>
      <c r="AT14" s="3">
        <v>1.1000000000000001</v>
      </c>
      <c r="AU14" s="3">
        <v>0</v>
      </c>
      <c r="AV14" s="3">
        <v>0</v>
      </c>
      <c r="AW14" s="3">
        <v>1.5</v>
      </c>
      <c r="AX14" s="52">
        <v>3.1</v>
      </c>
      <c r="AY14" s="3"/>
      <c r="AZ14" s="1" t="s">
        <v>47</v>
      </c>
      <c r="BA14" s="55">
        <f>SUM(BA4:BA13)</f>
        <v>151.60499999999999</v>
      </c>
      <c r="BC14" s="55">
        <f t="shared" ref="BC14:BH14" si="15">SUM(BC4:BC13)</f>
        <v>182.47800000000001</v>
      </c>
      <c r="BD14" s="55">
        <f t="shared" si="15"/>
        <v>203.21</v>
      </c>
      <c r="BE14" s="55">
        <f t="shared" si="15"/>
        <v>334.42549999999994</v>
      </c>
      <c r="BF14" s="55">
        <f t="shared" si="15"/>
        <v>385.43200000000002</v>
      </c>
      <c r="BG14" s="55">
        <f t="shared" ref="BG14" si="16">SUM(BG4:BG13)</f>
        <v>486.95500000000004</v>
      </c>
      <c r="BH14" s="55">
        <f t="shared" si="15"/>
        <v>486.95500000000004</v>
      </c>
      <c r="BI14" s="63">
        <f>SUM(BI8:BI13)</f>
        <v>1268.3152499999999</v>
      </c>
      <c r="BJ14" s="63">
        <f>SUM(BJ8:BJ13)</f>
        <v>1270.0919999999999</v>
      </c>
      <c r="BK14" s="63">
        <f>SUM(BK8:BK13)</f>
        <v>1434.4614500000002</v>
      </c>
      <c r="BL14" s="63">
        <f>SUM(BL8:BL13)</f>
        <v>1534.23</v>
      </c>
      <c r="BM14" s="63">
        <f>SUM(BM7:BM13)</f>
        <v>2430.6984749999997</v>
      </c>
      <c r="BN14" s="63">
        <f>SUM(BN6:BN13)</f>
        <v>2926.4331499999998</v>
      </c>
      <c r="BO14" s="63">
        <f>SUM(BO6:BO13)</f>
        <v>3453.6379999999999</v>
      </c>
      <c r="BP14" s="63">
        <f>SUM(BP4:BP13)</f>
        <v>3586.875</v>
      </c>
      <c r="BQ14">
        <v>3773.8255964593745</v>
      </c>
    </row>
    <row r="15" spans="1:73" ht="15.75" thickBot="1" x14ac:dyDescent="0.3">
      <c r="A15" s="223"/>
      <c r="B15" s="2" t="s">
        <v>12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3">
        <v>5.9</v>
      </c>
      <c r="AB15" s="3"/>
      <c r="AC15" s="3"/>
      <c r="AD15" s="3"/>
      <c r="AE15" s="3"/>
      <c r="AF15" s="52"/>
      <c r="AG15" s="54">
        <v>5.9</v>
      </c>
      <c r="AH15" s="3"/>
      <c r="AI15" s="3"/>
      <c r="AJ15" s="3"/>
      <c r="AK15" s="3"/>
      <c r="AL15" s="52"/>
      <c r="AM15" s="54">
        <v>5.9</v>
      </c>
      <c r="AN15" s="3"/>
      <c r="AO15" s="3"/>
      <c r="AP15" s="3"/>
      <c r="AQ15" s="3"/>
      <c r="AR15" s="52"/>
      <c r="AS15" s="54">
        <v>5.9</v>
      </c>
      <c r="AT15" s="3"/>
      <c r="AU15" s="3"/>
      <c r="AV15" s="3"/>
      <c r="AW15" s="3"/>
      <c r="AX15" s="52"/>
      <c r="AY15" s="178"/>
      <c r="AZ15" s="1" t="s">
        <v>46</v>
      </c>
      <c r="BA15" t="s">
        <v>72</v>
      </c>
      <c r="BF15" s="147">
        <f>AS9+AS12+AS15</f>
        <v>11.9</v>
      </c>
      <c r="BG15" s="147"/>
      <c r="BH15" s="55">
        <f>BH14-BA14</f>
        <v>335.35</v>
      </c>
      <c r="BI15">
        <v>0</v>
      </c>
      <c r="BJ15">
        <v>1</v>
      </c>
      <c r="BK15" s="63">
        <f t="shared" ref="BK15:BP15" si="17">BK14-$BI14</f>
        <v>166.14620000000036</v>
      </c>
      <c r="BL15" s="63">
        <f t="shared" si="17"/>
        <v>265.91475000000014</v>
      </c>
      <c r="BM15" s="63">
        <f t="shared" si="17"/>
        <v>1162.3832249999998</v>
      </c>
      <c r="BN15" s="63">
        <f t="shared" si="17"/>
        <v>1658.1179</v>
      </c>
      <c r="BO15" s="63">
        <f t="shared" si="17"/>
        <v>2185.3227500000003</v>
      </c>
      <c r="BP15" s="63">
        <f t="shared" si="17"/>
        <v>2318.5597500000003</v>
      </c>
      <c r="BQ15" s="63">
        <v>2262.8532891444247</v>
      </c>
    </row>
    <row r="16" spans="1:73" s="2" customFormat="1" ht="15.75" thickBot="1" x14ac:dyDescent="0.3">
      <c r="A16" s="223" t="s">
        <v>27</v>
      </c>
      <c r="B16" s="2" t="s">
        <v>10</v>
      </c>
      <c r="C16" s="55">
        <v>0</v>
      </c>
      <c r="D16" s="1">
        <v>0.8</v>
      </c>
      <c r="E16" s="1">
        <v>1</v>
      </c>
      <c r="F16" s="1">
        <v>1.5</v>
      </c>
      <c r="G16" s="1">
        <v>2</v>
      </c>
      <c r="H16" s="56">
        <v>2.2000000000000002</v>
      </c>
      <c r="I16" s="55">
        <v>0</v>
      </c>
      <c r="J16" s="1">
        <v>0.8</v>
      </c>
      <c r="K16" s="1">
        <v>1.5</v>
      </c>
      <c r="L16" s="1">
        <v>2</v>
      </c>
      <c r="M16" s="1">
        <v>2.6</v>
      </c>
      <c r="N16" s="56">
        <v>3.4</v>
      </c>
      <c r="O16" s="55">
        <v>0</v>
      </c>
      <c r="P16" s="1">
        <v>1.1000000000000001</v>
      </c>
      <c r="Q16" s="1">
        <v>2.6</v>
      </c>
      <c r="R16" s="1">
        <v>3.9</v>
      </c>
      <c r="S16" s="1">
        <v>4.8</v>
      </c>
      <c r="T16" s="56">
        <v>5.9</v>
      </c>
      <c r="U16" s="55">
        <v>0</v>
      </c>
      <c r="V16" s="1">
        <v>1.3</v>
      </c>
      <c r="W16" s="1">
        <v>3</v>
      </c>
      <c r="X16" s="1">
        <v>4.4000000000000004</v>
      </c>
      <c r="Y16" s="1">
        <v>5.6</v>
      </c>
      <c r="Z16" s="56">
        <v>6.8</v>
      </c>
      <c r="AA16" s="55">
        <v>0</v>
      </c>
      <c r="AB16" s="1">
        <v>2</v>
      </c>
      <c r="AC16" s="1">
        <v>4.8</v>
      </c>
      <c r="AD16" s="1">
        <v>6.4</v>
      </c>
      <c r="AE16" s="1">
        <v>8</v>
      </c>
      <c r="AF16" s="56">
        <v>10.7</v>
      </c>
      <c r="AG16" s="55">
        <v>0</v>
      </c>
      <c r="AH16" s="1">
        <v>2</v>
      </c>
      <c r="AI16" s="1">
        <v>5.0999999999999996</v>
      </c>
      <c r="AJ16" s="1">
        <v>6.7</v>
      </c>
      <c r="AK16" s="1">
        <v>8</v>
      </c>
      <c r="AL16" s="56">
        <v>11.9</v>
      </c>
      <c r="AM16" s="55">
        <v>0</v>
      </c>
      <c r="AN16" s="1">
        <v>2</v>
      </c>
      <c r="AO16" s="1">
        <v>6</v>
      </c>
      <c r="AP16" s="1">
        <v>7.6</v>
      </c>
      <c r="AQ16" s="1">
        <v>11.5</v>
      </c>
      <c r="AR16" s="56">
        <v>13</v>
      </c>
      <c r="AS16" s="55">
        <v>0</v>
      </c>
      <c r="AT16" s="1">
        <v>2</v>
      </c>
      <c r="AU16" s="1">
        <v>6</v>
      </c>
      <c r="AV16" s="1">
        <v>7.6</v>
      </c>
      <c r="AW16" s="1">
        <v>11.5</v>
      </c>
      <c r="AX16" s="56">
        <v>13</v>
      </c>
      <c r="AY16" s="3">
        <f>AX16-H16</f>
        <v>10.8</v>
      </c>
      <c r="AZ16" s="1" t="s">
        <v>21</v>
      </c>
      <c r="BA16" s="62"/>
      <c r="BC16" s="94"/>
      <c r="BD16" s="94"/>
      <c r="BE16" s="50"/>
      <c r="BF16" s="50"/>
      <c r="BG16" s="50"/>
      <c r="BH16" s="95">
        <f t="shared" ref="BH16:BH23" si="18">BH76</f>
        <v>77.180000000000007</v>
      </c>
      <c r="BI16" s="61"/>
      <c r="BJ16" s="69"/>
      <c r="BK16" s="69"/>
      <c r="BL16" s="69"/>
      <c r="BM16" s="69"/>
      <c r="BN16" s="69"/>
      <c r="BO16" s="69"/>
      <c r="BP16" s="96">
        <f>(BH13+BH16)/2*AS36</f>
        <v>2872.9349999999999</v>
      </c>
      <c r="BU16" t="s">
        <v>62</v>
      </c>
    </row>
    <row r="17" spans="1:77" ht="16.5" thickBot="1" x14ac:dyDescent="0.3">
      <c r="A17" s="223"/>
      <c r="B17" t="s">
        <v>11</v>
      </c>
      <c r="C17" s="54">
        <v>3</v>
      </c>
      <c r="D17" s="3">
        <v>2.1</v>
      </c>
      <c r="E17" s="3">
        <v>0</v>
      </c>
      <c r="F17" s="3">
        <v>0</v>
      </c>
      <c r="G17" s="3">
        <v>1.8</v>
      </c>
      <c r="H17" s="52">
        <v>3</v>
      </c>
      <c r="I17" s="54">
        <v>3</v>
      </c>
      <c r="J17" s="3">
        <v>2.1</v>
      </c>
      <c r="K17" s="3">
        <v>0</v>
      </c>
      <c r="L17" s="3">
        <v>0</v>
      </c>
      <c r="M17" s="3">
        <v>1.8</v>
      </c>
      <c r="N17" s="52">
        <v>3</v>
      </c>
      <c r="O17" s="55">
        <v>4.2</v>
      </c>
      <c r="P17" s="1">
        <v>1.2</v>
      </c>
      <c r="Q17" s="1">
        <v>0</v>
      </c>
      <c r="R17" s="1">
        <v>0</v>
      </c>
      <c r="S17" s="1">
        <v>1.2</v>
      </c>
      <c r="T17" s="52">
        <v>4.2</v>
      </c>
      <c r="U17" s="54">
        <v>4.4000000000000004</v>
      </c>
      <c r="V17" s="1">
        <v>1.2</v>
      </c>
      <c r="W17" s="1">
        <v>0</v>
      </c>
      <c r="X17" s="1">
        <v>0</v>
      </c>
      <c r="Y17" s="1">
        <v>1</v>
      </c>
      <c r="Z17" s="52">
        <v>4.4000000000000004</v>
      </c>
      <c r="AA17" s="54">
        <v>4.5999999999999996</v>
      </c>
      <c r="AB17" s="1">
        <v>1.4</v>
      </c>
      <c r="AC17" s="1">
        <v>0</v>
      </c>
      <c r="AD17" s="1">
        <v>0</v>
      </c>
      <c r="AE17" s="1">
        <v>1</v>
      </c>
      <c r="AF17" s="52">
        <v>4.5999999999999996</v>
      </c>
      <c r="AG17" s="54">
        <v>4.4000000000000004</v>
      </c>
      <c r="AH17" s="1">
        <v>1.2</v>
      </c>
      <c r="AI17" s="1">
        <v>0</v>
      </c>
      <c r="AJ17" s="1">
        <v>0</v>
      </c>
      <c r="AK17" s="1">
        <v>0.98</v>
      </c>
      <c r="AL17" s="52">
        <v>4.4000000000000004</v>
      </c>
      <c r="AM17" s="54">
        <v>4.4000000000000004</v>
      </c>
      <c r="AN17" s="3">
        <v>2.3000000000000003</v>
      </c>
      <c r="AO17" s="3">
        <v>0</v>
      </c>
      <c r="AP17" s="3">
        <v>0</v>
      </c>
      <c r="AQ17" s="3">
        <v>2.6000000000000005</v>
      </c>
      <c r="AR17" s="52">
        <v>4.4000000000000004</v>
      </c>
      <c r="AS17" s="54">
        <v>4.4000000000000004</v>
      </c>
      <c r="AT17" s="3">
        <v>2.3000000000000003</v>
      </c>
      <c r="AU17" s="3">
        <v>0</v>
      </c>
      <c r="AV17" s="3">
        <v>0</v>
      </c>
      <c r="AW17" s="3">
        <v>2.6000000000000005</v>
      </c>
      <c r="AX17" s="52">
        <v>4.4000000000000004</v>
      </c>
      <c r="AY17" s="3"/>
      <c r="AZ17" s="1" t="s">
        <v>20</v>
      </c>
      <c r="BA17" s="54"/>
      <c r="BC17" s="86"/>
      <c r="BD17" s="86"/>
      <c r="BE17" s="3"/>
      <c r="BF17" s="3"/>
      <c r="BG17" s="3"/>
      <c r="BH17" s="95">
        <f t="shared" si="18"/>
        <v>101.95500000000001</v>
      </c>
      <c r="BI17" s="54"/>
      <c r="BJ17" s="3"/>
      <c r="BK17" s="3"/>
      <c r="BL17" s="3"/>
      <c r="BM17" s="3"/>
      <c r="BN17" s="3"/>
      <c r="BO17" s="3"/>
      <c r="BP17" s="83">
        <f>(BH16+BH17)/2*AS39</f>
        <v>3134.8625000000002</v>
      </c>
      <c r="BU17" s="101">
        <v>2.798</v>
      </c>
    </row>
    <row r="18" spans="1:77" ht="16.5" thickBot="1" x14ac:dyDescent="0.3">
      <c r="A18" s="223"/>
      <c r="B18" t="s">
        <v>12</v>
      </c>
      <c r="C18" s="54">
        <v>4.0999999999999996</v>
      </c>
      <c r="D18" s="3"/>
      <c r="E18" s="3"/>
      <c r="F18" s="3"/>
      <c r="G18" s="3"/>
      <c r="H18" s="52"/>
      <c r="I18" s="54">
        <v>4.0999999999999996</v>
      </c>
      <c r="J18" s="3"/>
      <c r="K18" s="3"/>
      <c r="L18" s="3"/>
      <c r="M18" s="3"/>
      <c r="N18" s="52"/>
      <c r="O18" s="54">
        <v>4.0999999999999996</v>
      </c>
      <c r="P18" s="3"/>
      <c r="Q18" s="3"/>
      <c r="R18" s="3"/>
      <c r="S18" s="3"/>
      <c r="T18" s="52"/>
      <c r="U18" s="54">
        <v>4.0999999999999996</v>
      </c>
      <c r="V18" s="3"/>
      <c r="W18" s="3"/>
      <c r="X18" s="3"/>
      <c r="Y18" s="3"/>
      <c r="Z18" s="52"/>
      <c r="AA18" s="54">
        <v>4.0999999999999996</v>
      </c>
      <c r="AB18" s="3"/>
      <c r="AC18" s="3"/>
      <c r="AD18" s="3"/>
      <c r="AE18" s="3"/>
      <c r="AF18" s="52"/>
      <c r="AG18" s="54">
        <v>4.0999999999999996</v>
      </c>
      <c r="AH18" s="3"/>
      <c r="AI18" s="3"/>
      <c r="AJ18" s="3"/>
      <c r="AK18" s="3"/>
      <c r="AL18" s="52"/>
      <c r="AM18" s="54">
        <v>4.0999999999999996</v>
      </c>
      <c r="AN18" s="3"/>
      <c r="AO18" s="3"/>
      <c r="AP18" s="3"/>
      <c r="AQ18" s="3"/>
      <c r="AR18" s="52"/>
      <c r="AS18" s="54">
        <v>4.0999999999999996</v>
      </c>
      <c r="AT18" s="3"/>
      <c r="AU18" s="3"/>
      <c r="AV18" s="3"/>
      <c r="AW18" s="3"/>
      <c r="AX18" s="52"/>
      <c r="AY18" s="3"/>
      <c r="AZ18" s="1" t="s">
        <v>19</v>
      </c>
      <c r="BA18" s="55"/>
      <c r="BC18" s="3"/>
      <c r="BD18" s="1"/>
      <c r="BE18" s="3"/>
      <c r="BF18" s="3"/>
      <c r="BG18" s="3"/>
      <c r="BH18" s="95">
        <f t="shared" si="18"/>
        <v>114.99999999999997</v>
      </c>
      <c r="BI18" s="54"/>
      <c r="BJ18" s="3"/>
      <c r="BK18" s="3"/>
      <c r="BL18" s="3"/>
      <c r="BM18" s="3"/>
      <c r="BN18" s="3"/>
      <c r="BO18" s="3"/>
      <c r="BP18" s="83">
        <f>(BH17+BH18)/2*AS42</f>
        <v>2169.5499999999997</v>
      </c>
      <c r="BR18">
        <f>BQ15*1.23</f>
        <v>2783.3095456476422</v>
      </c>
      <c r="BU18" s="101">
        <v>2.798</v>
      </c>
    </row>
    <row r="19" spans="1:77" ht="15.75" thickBot="1" x14ac:dyDescent="0.3">
      <c r="A19" s="223" t="s">
        <v>26</v>
      </c>
      <c r="B19" t="s">
        <v>10</v>
      </c>
      <c r="C19" s="54">
        <v>0</v>
      </c>
      <c r="D19" s="3">
        <v>0.8</v>
      </c>
      <c r="E19" s="3">
        <v>1.8</v>
      </c>
      <c r="F19" s="3">
        <v>2.8</v>
      </c>
      <c r="G19" s="3">
        <v>4.3</v>
      </c>
      <c r="H19" s="52">
        <v>4.9000000000000004</v>
      </c>
      <c r="I19" s="54">
        <v>0</v>
      </c>
      <c r="J19" s="3">
        <v>0.8</v>
      </c>
      <c r="K19" s="3">
        <v>1.8</v>
      </c>
      <c r="L19" s="3">
        <v>2.8</v>
      </c>
      <c r="M19" s="3">
        <v>4.3</v>
      </c>
      <c r="N19" s="52">
        <v>4.9000000000000004</v>
      </c>
      <c r="O19" s="55">
        <v>0</v>
      </c>
      <c r="P19" s="1">
        <v>1.5</v>
      </c>
      <c r="Q19" s="1">
        <v>3</v>
      </c>
      <c r="R19" s="1">
        <v>4.0999999999999996</v>
      </c>
      <c r="S19" s="1">
        <v>4.8</v>
      </c>
      <c r="T19" s="52">
        <v>6.5</v>
      </c>
      <c r="U19" s="55">
        <v>0</v>
      </c>
      <c r="V19" s="1">
        <v>1.3</v>
      </c>
      <c r="W19" s="1">
        <v>3</v>
      </c>
      <c r="X19" s="1">
        <v>4.0999999999999996</v>
      </c>
      <c r="Y19" s="1">
        <v>5.6</v>
      </c>
      <c r="Z19" s="52">
        <v>7.2</v>
      </c>
      <c r="AA19" s="54">
        <v>0</v>
      </c>
      <c r="AB19" s="1">
        <v>1.9</v>
      </c>
      <c r="AC19" s="1">
        <v>5</v>
      </c>
      <c r="AD19" s="1">
        <v>6.4</v>
      </c>
      <c r="AE19" s="1">
        <v>7.8</v>
      </c>
      <c r="AF19" s="52">
        <v>12.200000000000001</v>
      </c>
      <c r="AG19" s="54">
        <v>0</v>
      </c>
      <c r="AH19" s="1">
        <v>2</v>
      </c>
      <c r="AI19" s="1">
        <v>6.4</v>
      </c>
      <c r="AJ19" s="1">
        <v>7.6</v>
      </c>
      <c r="AK19" s="1">
        <v>8.3000000000000007</v>
      </c>
      <c r="AL19" s="52">
        <v>13.100000000000001</v>
      </c>
      <c r="AM19" s="54">
        <v>0</v>
      </c>
      <c r="AN19" s="3">
        <v>2</v>
      </c>
      <c r="AO19" s="3">
        <v>6.5</v>
      </c>
      <c r="AP19" s="3">
        <v>7.7</v>
      </c>
      <c r="AQ19" s="3">
        <v>11</v>
      </c>
      <c r="AR19" s="52">
        <v>13.4</v>
      </c>
      <c r="AS19" s="54">
        <v>0</v>
      </c>
      <c r="AT19" s="3">
        <v>2</v>
      </c>
      <c r="AU19" s="3">
        <v>6.5</v>
      </c>
      <c r="AV19" s="3">
        <v>7.7</v>
      </c>
      <c r="AW19" s="3">
        <v>11</v>
      </c>
      <c r="AX19" s="52">
        <v>13.4</v>
      </c>
      <c r="AY19" s="3">
        <f>AX19-H19</f>
        <v>8.5</v>
      </c>
      <c r="AZ19" s="1" t="s">
        <v>18</v>
      </c>
      <c r="BA19" s="55"/>
      <c r="BC19" s="3"/>
      <c r="BD19" s="3"/>
      <c r="BE19" s="3"/>
      <c r="BF19" s="3"/>
      <c r="BG19" s="3"/>
      <c r="BH19" s="95">
        <f t="shared" si="18"/>
        <v>75.394999999999996</v>
      </c>
      <c r="BI19" s="54"/>
      <c r="BJ19" s="3"/>
      <c r="BK19" s="3"/>
      <c r="BL19" s="3"/>
      <c r="BM19" s="3"/>
      <c r="BN19" s="3"/>
      <c r="BO19" s="3"/>
      <c r="BP19" s="83">
        <f>(BH18+BH19)/2*AS45</f>
        <v>5331.0599999999995</v>
      </c>
      <c r="BT19" t="s">
        <v>64</v>
      </c>
      <c r="BU19" t="s">
        <v>63</v>
      </c>
    </row>
    <row r="20" spans="1:77" ht="15.75" thickBot="1" x14ac:dyDescent="0.3">
      <c r="A20" s="223"/>
      <c r="B20" t="s">
        <v>11</v>
      </c>
      <c r="C20" s="54">
        <v>4.5</v>
      </c>
      <c r="D20" s="3">
        <v>2</v>
      </c>
      <c r="E20" s="3">
        <v>0</v>
      </c>
      <c r="F20" s="3">
        <v>0</v>
      </c>
      <c r="G20" s="3">
        <v>3</v>
      </c>
      <c r="H20" s="52">
        <v>4.5</v>
      </c>
      <c r="I20" s="54">
        <v>4.5</v>
      </c>
      <c r="J20" s="3">
        <v>2</v>
      </c>
      <c r="K20" s="3">
        <v>0</v>
      </c>
      <c r="L20" s="3">
        <v>0</v>
      </c>
      <c r="M20" s="3">
        <v>3</v>
      </c>
      <c r="N20" s="52">
        <v>4.5</v>
      </c>
      <c r="O20" s="55">
        <v>4.8</v>
      </c>
      <c r="P20" s="1">
        <v>2</v>
      </c>
      <c r="Q20" s="1">
        <v>0</v>
      </c>
      <c r="R20" s="1">
        <v>0</v>
      </c>
      <c r="S20" s="1">
        <v>2.8</v>
      </c>
      <c r="T20" s="52">
        <v>4.8</v>
      </c>
      <c r="U20" s="55">
        <v>4.8</v>
      </c>
      <c r="V20" s="1">
        <v>2.4</v>
      </c>
      <c r="W20" s="1">
        <v>0</v>
      </c>
      <c r="X20" s="1">
        <v>0</v>
      </c>
      <c r="Y20" s="1">
        <v>3</v>
      </c>
      <c r="Z20" s="52">
        <v>4.8</v>
      </c>
      <c r="AA20" s="54">
        <v>5</v>
      </c>
      <c r="AB20" s="1">
        <v>2.4</v>
      </c>
      <c r="AC20" s="1">
        <v>0</v>
      </c>
      <c r="AD20" s="1">
        <v>0</v>
      </c>
      <c r="AE20" s="1">
        <v>2.6</v>
      </c>
      <c r="AF20" s="52">
        <v>5</v>
      </c>
      <c r="AG20" s="54">
        <v>5</v>
      </c>
      <c r="AH20" s="1">
        <v>2.2000000000000002</v>
      </c>
      <c r="AI20" s="1">
        <v>0</v>
      </c>
      <c r="AJ20" s="1">
        <v>0</v>
      </c>
      <c r="AK20" s="1">
        <v>2.6</v>
      </c>
      <c r="AL20" s="52">
        <v>5</v>
      </c>
      <c r="AM20" s="54">
        <v>4.9000000000000004</v>
      </c>
      <c r="AN20" s="3">
        <v>2.3000000000000003</v>
      </c>
      <c r="AO20" s="3">
        <v>0</v>
      </c>
      <c r="AP20" s="3">
        <v>0</v>
      </c>
      <c r="AQ20" s="3">
        <v>2.3000000000000003</v>
      </c>
      <c r="AR20" s="52">
        <v>4.9000000000000004</v>
      </c>
      <c r="AS20" s="54">
        <v>4.9000000000000004</v>
      </c>
      <c r="AT20" s="3">
        <v>2.3000000000000003</v>
      </c>
      <c r="AU20" s="3">
        <v>0</v>
      </c>
      <c r="AV20" s="3">
        <v>0</v>
      </c>
      <c r="AW20" s="3">
        <v>2.3000000000000003</v>
      </c>
      <c r="AX20" s="52">
        <v>4.9000000000000004</v>
      </c>
      <c r="AY20" s="3"/>
      <c r="AZ20" s="1" t="s">
        <v>17</v>
      </c>
      <c r="BA20" s="54"/>
      <c r="BC20" s="93"/>
      <c r="BD20" s="3"/>
      <c r="BE20" s="3"/>
      <c r="BF20" s="3"/>
      <c r="BG20" s="3"/>
      <c r="BH20" s="95">
        <f t="shared" si="18"/>
        <v>109.88999999999999</v>
      </c>
      <c r="BI20" s="54"/>
      <c r="BJ20" s="3"/>
      <c r="BK20" s="3"/>
      <c r="BL20" s="3"/>
      <c r="BM20" s="3"/>
      <c r="BN20" s="3"/>
      <c r="BO20" s="3"/>
      <c r="BP20" s="83">
        <f>(BH19+BH20)/2*AS48</f>
        <v>1602.7152499999997</v>
      </c>
      <c r="BS20" t="s">
        <v>60</v>
      </c>
      <c r="BT20">
        <v>2262.8000000000002</v>
      </c>
      <c r="BU20" s="64">
        <f>(BT20*BU17)/1000</f>
        <v>6.3313144000000001</v>
      </c>
    </row>
    <row r="21" spans="1:77" ht="15.75" thickBot="1" x14ac:dyDescent="0.3">
      <c r="A21" s="223"/>
      <c r="B21" t="s">
        <v>12</v>
      </c>
      <c r="C21" s="54">
        <v>2.2999999999999998</v>
      </c>
      <c r="D21" s="3"/>
      <c r="E21" s="3"/>
      <c r="F21" s="3"/>
      <c r="G21" s="3"/>
      <c r="H21" s="52"/>
      <c r="I21" s="54">
        <v>2.2999999999999998</v>
      </c>
      <c r="J21" s="3"/>
      <c r="K21" s="3"/>
      <c r="L21" s="3"/>
      <c r="M21" s="3"/>
      <c r="N21" s="52"/>
      <c r="O21" s="55">
        <v>2.2999999999999998</v>
      </c>
      <c r="P21" s="3"/>
      <c r="Q21" s="3"/>
      <c r="R21" s="3"/>
      <c r="S21" s="3"/>
      <c r="T21" s="52"/>
      <c r="U21" s="54">
        <v>2.2999999999999998</v>
      </c>
      <c r="V21" s="3"/>
      <c r="W21" s="3"/>
      <c r="X21" s="3"/>
      <c r="Y21" s="3"/>
      <c r="Z21" s="52"/>
      <c r="AA21" s="54">
        <v>2.2999999999999998</v>
      </c>
      <c r="AB21" s="3"/>
      <c r="AC21" s="3"/>
      <c r="AD21" s="3"/>
      <c r="AE21" s="3"/>
      <c r="AF21" s="52"/>
      <c r="AG21" s="54">
        <v>2.2999999999999998</v>
      </c>
      <c r="AH21" s="3"/>
      <c r="AI21" s="3"/>
      <c r="AJ21" s="3"/>
      <c r="AK21" s="3"/>
      <c r="AL21" s="52"/>
      <c r="AM21" s="54">
        <v>2.2999999999999998</v>
      </c>
      <c r="AN21" s="3"/>
      <c r="AO21" s="3"/>
      <c r="AP21" s="3"/>
      <c r="AQ21" s="3"/>
      <c r="AR21" s="52"/>
      <c r="AS21" s="54">
        <v>2.2999999999999998</v>
      </c>
      <c r="AT21" s="3"/>
      <c r="AU21" s="3"/>
      <c r="AV21" s="3"/>
      <c r="AW21" s="3"/>
      <c r="AX21" s="52"/>
      <c r="AY21" s="3"/>
      <c r="AZ21" s="1" t="s">
        <v>16</v>
      </c>
      <c r="BA21" s="54"/>
      <c r="BC21" s="93"/>
      <c r="BD21" s="3"/>
      <c r="BE21" s="3"/>
      <c r="BF21" s="3"/>
      <c r="BG21" s="3"/>
      <c r="BH21" s="95">
        <f t="shared" si="18"/>
        <v>22.14</v>
      </c>
      <c r="BI21" s="54"/>
      <c r="BJ21" s="3"/>
      <c r="BK21" s="3"/>
      <c r="BL21" s="3"/>
      <c r="BM21" s="3"/>
      <c r="BN21" s="3"/>
      <c r="BO21" s="3"/>
      <c r="BP21" s="83">
        <f>(BH20+BH21)/2*AS51</f>
        <v>871.3979999999998</v>
      </c>
      <c r="BS21" t="s">
        <v>61</v>
      </c>
      <c r="BT21">
        <v>20776.93</v>
      </c>
      <c r="BU21" s="64">
        <f>(BT21*BU18)/1000</f>
        <v>58.13385014</v>
      </c>
    </row>
    <row r="22" spans="1:77" ht="15.75" thickBot="1" x14ac:dyDescent="0.3">
      <c r="A22" s="223" t="s">
        <v>25</v>
      </c>
      <c r="B22" t="s">
        <v>10</v>
      </c>
      <c r="C22" s="54">
        <v>0</v>
      </c>
      <c r="D22" s="3">
        <v>0.8</v>
      </c>
      <c r="E22" s="3">
        <v>1.6</v>
      </c>
      <c r="F22" s="3">
        <v>2.4</v>
      </c>
      <c r="G22" s="3">
        <v>4.3</v>
      </c>
      <c r="H22" s="52">
        <v>4.7000000000000011</v>
      </c>
      <c r="I22" s="54">
        <v>0</v>
      </c>
      <c r="J22" s="3">
        <v>0.8</v>
      </c>
      <c r="K22" s="3">
        <v>1.6</v>
      </c>
      <c r="L22" s="3">
        <v>2.4</v>
      </c>
      <c r="M22" s="3">
        <v>4.3</v>
      </c>
      <c r="N22" s="52">
        <v>4.7000000000000011</v>
      </c>
      <c r="O22" s="55">
        <v>0</v>
      </c>
      <c r="P22" s="1">
        <v>2</v>
      </c>
      <c r="Q22" s="1">
        <v>3</v>
      </c>
      <c r="R22" s="1">
        <v>4.2</v>
      </c>
      <c r="S22" s="1">
        <v>5.0999999999999996</v>
      </c>
      <c r="T22" s="52">
        <v>6.3500000000000005</v>
      </c>
      <c r="U22" s="54">
        <v>0</v>
      </c>
      <c r="V22" s="1">
        <v>2</v>
      </c>
      <c r="W22" s="1">
        <v>3.6</v>
      </c>
      <c r="X22" s="1">
        <v>4.8</v>
      </c>
      <c r="Y22" s="1">
        <v>6.2</v>
      </c>
      <c r="Z22" s="52">
        <v>7.4</v>
      </c>
      <c r="AA22" s="54">
        <v>0</v>
      </c>
      <c r="AB22" s="1">
        <v>2</v>
      </c>
      <c r="AC22" s="1">
        <v>5.4</v>
      </c>
      <c r="AD22" s="1">
        <v>6.6</v>
      </c>
      <c r="AE22" s="1">
        <v>7.5</v>
      </c>
      <c r="AF22" s="52">
        <v>11.75</v>
      </c>
      <c r="AG22" s="54">
        <v>0</v>
      </c>
      <c r="AH22" s="1">
        <v>2.2999999999999998</v>
      </c>
      <c r="AI22" s="1">
        <v>5.6</v>
      </c>
      <c r="AJ22" s="1">
        <v>6.8</v>
      </c>
      <c r="AK22" s="1">
        <v>8</v>
      </c>
      <c r="AL22" s="52">
        <v>12.350000000000001</v>
      </c>
      <c r="AM22" s="54">
        <v>0</v>
      </c>
      <c r="AN22" s="3">
        <v>1.8</v>
      </c>
      <c r="AO22" s="3">
        <v>6</v>
      </c>
      <c r="AP22" s="3">
        <v>7.2</v>
      </c>
      <c r="AQ22" s="3">
        <v>10.5</v>
      </c>
      <c r="AR22" s="52">
        <v>13.4</v>
      </c>
      <c r="AS22" s="54">
        <v>0</v>
      </c>
      <c r="AT22" s="3">
        <v>1.8</v>
      </c>
      <c r="AU22" s="3">
        <v>6</v>
      </c>
      <c r="AV22" s="3">
        <v>7.2</v>
      </c>
      <c r="AW22" s="3">
        <v>10.5</v>
      </c>
      <c r="AX22" s="52">
        <v>13.4</v>
      </c>
      <c r="AY22" s="3">
        <f>AX22-H22</f>
        <v>8.6999999999999993</v>
      </c>
      <c r="AZ22" s="1" t="s">
        <v>15</v>
      </c>
      <c r="BA22" s="55"/>
      <c r="BC22" s="3"/>
      <c r="BD22" s="3"/>
      <c r="BE22" s="3"/>
      <c r="BF22" s="3"/>
      <c r="BG22" s="3"/>
      <c r="BH22" s="95">
        <f t="shared" si="18"/>
        <v>13.919999999999998</v>
      </c>
      <c r="BI22" s="54"/>
      <c r="BJ22" s="3"/>
      <c r="BK22" s="3"/>
      <c r="BL22" s="3"/>
      <c r="BM22" s="3"/>
      <c r="BN22" s="3"/>
      <c r="BO22" s="3"/>
      <c r="BP22" s="83">
        <f>(BH21+BH22)/2*AS54</f>
        <v>104.574</v>
      </c>
    </row>
    <row r="23" spans="1:77" ht="15.75" thickBot="1" x14ac:dyDescent="0.3">
      <c r="A23" s="223"/>
      <c r="B23" t="s">
        <v>11</v>
      </c>
      <c r="C23" s="54">
        <v>5</v>
      </c>
      <c r="D23" s="3">
        <v>2.4</v>
      </c>
      <c r="E23" s="3">
        <v>0</v>
      </c>
      <c r="F23" s="3">
        <v>0</v>
      </c>
      <c r="G23" s="3">
        <v>3</v>
      </c>
      <c r="H23" s="52">
        <v>5</v>
      </c>
      <c r="I23" s="54">
        <v>5</v>
      </c>
      <c r="J23" s="3">
        <v>2.4</v>
      </c>
      <c r="K23" s="3">
        <v>0</v>
      </c>
      <c r="L23" s="3">
        <v>0</v>
      </c>
      <c r="M23" s="3">
        <v>3</v>
      </c>
      <c r="N23" s="52">
        <v>5</v>
      </c>
      <c r="O23" s="55">
        <v>5</v>
      </c>
      <c r="P23" s="1">
        <v>2.4</v>
      </c>
      <c r="Q23" s="1">
        <v>0</v>
      </c>
      <c r="R23" s="1">
        <v>0</v>
      </c>
      <c r="S23" s="1">
        <v>2.8</v>
      </c>
      <c r="T23" s="52">
        <v>5</v>
      </c>
      <c r="U23" s="54">
        <v>6</v>
      </c>
      <c r="V23" s="1">
        <v>2.2000000000000002</v>
      </c>
      <c r="W23" s="1">
        <v>0</v>
      </c>
      <c r="X23" s="1">
        <v>0</v>
      </c>
      <c r="Y23" s="1">
        <v>2.4</v>
      </c>
      <c r="Z23" s="52">
        <v>6</v>
      </c>
      <c r="AA23" s="54">
        <v>6</v>
      </c>
      <c r="AB23" s="1">
        <v>2.2000000000000002</v>
      </c>
      <c r="AC23" s="1">
        <v>0</v>
      </c>
      <c r="AD23" s="1">
        <v>0</v>
      </c>
      <c r="AE23" s="1">
        <v>2.4</v>
      </c>
      <c r="AF23" s="52">
        <v>6</v>
      </c>
      <c r="AG23" s="54">
        <v>6</v>
      </c>
      <c r="AH23" s="1">
        <v>2.4</v>
      </c>
      <c r="AI23" s="1">
        <v>0</v>
      </c>
      <c r="AJ23" s="1">
        <v>0</v>
      </c>
      <c r="AK23" s="1">
        <v>2.8</v>
      </c>
      <c r="AL23" s="52">
        <v>6</v>
      </c>
      <c r="AM23" s="54">
        <v>5.9</v>
      </c>
      <c r="AN23" s="3">
        <v>3.0000000000000004</v>
      </c>
      <c r="AO23" s="3">
        <v>0</v>
      </c>
      <c r="AP23" s="3">
        <v>0</v>
      </c>
      <c r="AQ23" s="3">
        <v>3.3000000000000003</v>
      </c>
      <c r="AR23" s="52">
        <v>5.9</v>
      </c>
      <c r="AS23" s="54">
        <v>5.9</v>
      </c>
      <c r="AT23" s="3">
        <v>3.0000000000000004</v>
      </c>
      <c r="AU23" s="3">
        <v>0</v>
      </c>
      <c r="AV23" s="3">
        <v>0</v>
      </c>
      <c r="AW23" s="3">
        <v>3.3000000000000003</v>
      </c>
      <c r="AX23" s="52">
        <v>5.9</v>
      </c>
      <c r="AY23" s="3"/>
      <c r="AZ23" s="1" t="s">
        <v>14</v>
      </c>
      <c r="BA23" s="54"/>
      <c r="BC23" s="93"/>
      <c r="BD23" s="3"/>
      <c r="BE23" s="3"/>
      <c r="BF23" s="3"/>
      <c r="BG23" s="3"/>
      <c r="BH23" s="95">
        <f t="shared" si="18"/>
        <v>20.675000000000001</v>
      </c>
      <c r="BI23" s="54"/>
      <c r="BJ23" s="3"/>
      <c r="BK23" s="3"/>
      <c r="BL23" s="3"/>
      <c r="BM23" s="3"/>
      <c r="BN23" s="3"/>
      <c r="BO23" s="3"/>
      <c r="BP23" s="83">
        <f>(BH22+BH23)/2*AS57</f>
        <v>287.13850000000002</v>
      </c>
      <c r="BY23" t="s">
        <v>155</v>
      </c>
    </row>
    <row r="24" spans="1:77" ht="15.75" thickBot="1" x14ac:dyDescent="0.3">
      <c r="A24" s="223"/>
      <c r="B24" t="s">
        <v>12</v>
      </c>
      <c r="C24" s="54">
        <v>1.2</v>
      </c>
      <c r="D24" s="3"/>
      <c r="E24" s="3"/>
      <c r="F24" s="3"/>
      <c r="G24" s="3"/>
      <c r="H24" s="52"/>
      <c r="I24" s="54">
        <v>1.2</v>
      </c>
      <c r="J24" s="3"/>
      <c r="K24" s="3"/>
      <c r="L24" s="3"/>
      <c r="M24" s="3"/>
      <c r="N24" s="52"/>
      <c r="O24" s="55">
        <v>1.2</v>
      </c>
      <c r="P24" s="3"/>
      <c r="Q24" s="3"/>
      <c r="R24" s="3"/>
      <c r="S24" s="3"/>
      <c r="T24" s="52"/>
      <c r="U24" s="54">
        <v>1.2</v>
      </c>
      <c r="V24" s="3"/>
      <c r="W24" s="3"/>
      <c r="X24" s="3"/>
      <c r="Y24" s="3"/>
      <c r="Z24" s="52"/>
      <c r="AA24" s="54">
        <v>1.2</v>
      </c>
      <c r="AB24" s="3"/>
      <c r="AC24" s="3"/>
      <c r="AD24" s="3"/>
      <c r="AE24" s="3"/>
      <c r="AF24" s="52"/>
      <c r="AG24" s="54">
        <v>1.2</v>
      </c>
      <c r="AH24" s="3"/>
      <c r="AI24" s="3"/>
      <c r="AJ24" s="3"/>
      <c r="AK24" s="3"/>
      <c r="AL24" s="52"/>
      <c r="AM24" s="54">
        <v>1.2</v>
      </c>
      <c r="AN24" s="3"/>
      <c r="AO24" s="3"/>
      <c r="AP24" s="3"/>
      <c r="AQ24" s="3"/>
      <c r="AR24" s="52"/>
      <c r="AS24" s="54">
        <v>1.2</v>
      </c>
      <c r="AT24" s="3"/>
      <c r="AU24" s="3"/>
      <c r="AV24" s="3"/>
      <c r="AW24" s="3"/>
      <c r="AX24" s="52"/>
      <c r="AY24" s="3"/>
      <c r="AZ24" s="1" t="s">
        <v>13</v>
      </c>
      <c r="BA24" s="54"/>
      <c r="BC24" s="93"/>
      <c r="BD24" s="3"/>
      <c r="BE24" s="3"/>
      <c r="BF24" s="3"/>
      <c r="BG24" s="3"/>
      <c r="BH24" s="95">
        <f>BG84</f>
        <v>0</v>
      </c>
      <c r="BI24" s="54"/>
      <c r="BJ24" s="3"/>
      <c r="BK24" s="3"/>
      <c r="BL24" s="3"/>
      <c r="BM24" s="3"/>
      <c r="BN24" s="3"/>
      <c r="BO24" s="3"/>
      <c r="BP24" s="83">
        <f>(BH23+BH24)/2*AS60</f>
        <v>353.54250000000002</v>
      </c>
      <c r="BV24" s="47"/>
      <c r="BW24" s="47">
        <v>41491</v>
      </c>
      <c r="BX24" t="s">
        <v>27</v>
      </c>
      <c r="BY24">
        <f>Z17</f>
        <v>4.4000000000000004</v>
      </c>
    </row>
    <row r="25" spans="1:77" ht="15.75" thickBot="1" x14ac:dyDescent="0.3">
      <c r="A25" s="223" t="s">
        <v>24</v>
      </c>
      <c r="B25" t="s">
        <v>10</v>
      </c>
      <c r="C25" s="54">
        <v>0</v>
      </c>
      <c r="D25" s="3">
        <v>3</v>
      </c>
      <c r="E25" s="3">
        <v>3.8</v>
      </c>
      <c r="F25" s="3">
        <v>4.8</v>
      </c>
      <c r="G25" s="3">
        <v>5.6</v>
      </c>
      <c r="H25" s="52">
        <v>8.1000000000000014</v>
      </c>
      <c r="I25" s="54">
        <v>0</v>
      </c>
      <c r="J25" s="3">
        <v>3</v>
      </c>
      <c r="K25" s="3">
        <v>3.8</v>
      </c>
      <c r="L25" s="3">
        <v>4.8</v>
      </c>
      <c r="M25" s="3">
        <v>5.6</v>
      </c>
      <c r="N25" s="52">
        <v>8.1000000000000014</v>
      </c>
      <c r="O25" s="55">
        <v>0</v>
      </c>
      <c r="P25" s="1">
        <v>3.2</v>
      </c>
      <c r="Q25" s="1">
        <v>4.3</v>
      </c>
      <c r="R25" s="1">
        <v>5.8</v>
      </c>
      <c r="S25" s="1">
        <v>7.5</v>
      </c>
      <c r="T25" s="52">
        <v>10.050000000000001</v>
      </c>
      <c r="U25" s="55">
        <v>0</v>
      </c>
      <c r="V25" s="1">
        <v>3.2</v>
      </c>
      <c r="W25" s="1">
        <v>4.3</v>
      </c>
      <c r="X25" s="1">
        <v>5.8</v>
      </c>
      <c r="Y25" s="1">
        <v>8</v>
      </c>
      <c r="Z25" s="52">
        <v>11</v>
      </c>
      <c r="AA25" s="54">
        <v>0</v>
      </c>
      <c r="AB25" s="1">
        <v>4</v>
      </c>
      <c r="AC25" s="1">
        <v>6.2</v>
      </c>
      <c r="AD25" s="1">
        <v>8.1999999999999993</v>
      </c>
      <c r="AE25" s="1">
        <v>9.6999999999999993</v>
      </c>
      <c r="AF25" s="52">
        <v>14.490000000000002</v>
      </c>
      <c r="AG25" s="54">
        <v>0</v>
      </c>
      <c r="AH25" s="1">
        <v>3</v>
      </c>
      <c r="AI25" s="1">
        <v>6.3</v>
      </c>
      <c r="AJ25" s="1">
        <v>8.3000000000000007</v>
      </c>
      <c r="AK25" s="1">
        <v>11</v>
      </c>
      <c r="AL25" s="52">
        <v>15.350000000000001</v>
      </c>
      <c r="AM25" s="54">
        <v>0</v>
      </c>
      <c r="AN25" s="3">
        <v>2.2999999999999998</v>
      </c>
      <c r="AO25" s="3">
        <v>6.7</v>
      </c>
      <c r="AP25" s="3">
        <v>8.6999999999999993</v>
      </c>
      <c r="AQ25" s="3">
        <v>12.8</v>
      </c>
      <c r="AR25" s="52">
        <v>16.600000000000001</v>
      </c>
      <c r="AS25" s="54">
        <v>0</v>
      </c>
      <c r="AT25" s="3">
        <v>2.2999999999999998</v>
      </c>
      <c r="AU25" s="3">
        <v>6.7</v>
      </c>
      <c r="AV25" s="3">
        <v>8.6999999999999993</v>
      </c>
      <c r="AW25" s="3">
        <v>12.8</v>
      </c>
      <c r="AX25" s="52">
        <v>16.600000000000001</v>
      </c>
      <c r="AY25" s="3">
        <f>AX25-H25</f>
        <v>8.5</v>
      </c>
      <c r="AZ25" s="1" t="s">
        <v>9</v>
      </c>
      <c r="BA25" s="60"/>
      <c r="BC25" s="58"/>
      <c r="BD25" s="58"/>
      <c r="BE25" s="58"/>
      <c r="BF25" s="58"/>
      <c r="BG25" s="3"/>
      <c r="BH25" s="95">
        <f t="shared" ref="BH25" si="19">BF85</f>
        <v>0</v>
      </c>
      <c r="BI25" s="57"/>
      <c r="BJ25" s="58"/>
      <c r="BK25" s="58"/>
      <c r="BL25" s="58"/>
      <c r="BM25" s="58"/>
      <c r="BN25" s="58"/>
      <c r="BO25" s="3"/>
      <c r="BP25" s="83">
        <f>(BH24+BH25)/2*AS63</f>
        <v>0</v>
      </c>
      <c r="BV25" s="47"/>
      <c r="BW25" s="47">
        <v>41495</v>
      </c>
      <c r="BX25" t="s">
        <v>28</v>
      </c>
      <c r="BY25">
        <f>AF14</f>
        <v>3</v>
      </c>
    </row>
    <row r="26" spans="1:77" x14ac:dyDescent="0.25">
      <c r="A26" s="223"/>
      <c r="B26" t="s">
        <v>11</v>
      </c>
      <c r="C26" s="54">
        <v>5</v>
      </c>
      <c r="D26" s="3">
        <v>2.1</v>
      </c>
      <c r="E26" s="3">
        <v>0</v>
      </c>
      <c r="F26" s="3">
        <v>0</v>
      </c>
      <c r="G26" s="3">
        <v>3.2</v>
      </c>
      <c r="H26" s="52">
        <v>5</v>
      </c>
      <c r="I26" s="54">
        <v>5</v>
      </c>
      <c r="J26" s="3">
        <v>2.1</v>
      </c>
      <c r="K26" s="3">
        <v>0</v>
      </c>
      <c r="L26" s="3">
        <v>0</v>
      </c>
      <c r="M26" s="3">
        <v>3.2</v>
      </c>
      <c r="N26" s="52">
        <v>5</v>
      </c>
      <c r="O26" s="55">
        <v>4.8</v>
      </c>
      <c r="P26" s="1">
        <v>2.2000000000000002</v>
      </c>
      <c r="Q26" s="1">
        <v>0</v>
      </c>
      <c r="R26" s="1">
        <v>0</v>
      </c>
      <c r="S26" s="1">
        <v>3</v>
      </c>
      <c r="T26" s="52">
        <v>4.8</v>
      </c>
      <c r="U26" s="55">
        <v>5.0999999999999996</v>
      </c>
      <c r="V26" s="1">
        <v>2</v>
      </c>
      <c r="W26" s="1">
        <v>0</v>
      </c>
      <c r="X26" s="1">
        <v>0</v>
      </c>
      <c r="Y26" s="1">
        <v>3</v>
      </c>
      <c r="Z26" s="52">
        <v>5.0999999999999996</v>
      </c>
      <c r="AA26" s="54">
        <v>5.8</v>
      </c>
      <c r="AB26" s="1">
        <v>2</v>
      </c>
      <c r="AC26" s="1">
        <v>0</v>
      </c>
      <c r="AD26" s="1">
        <v>0</v>
      </c>
      <c r="AE26" s="1">
        <v>3.2</v>
      </c>
      <c r="AF26" s="52">
        <v>5.8</v>
      </c>
      <c r="AG26" s="54">
        <v>5.7</v>
      </c>
      <c r="AH26" s="1">
        <v>1.5</v>
      </c>
      <c r="AI26" s="1">
        <v>0</v>
      </c>
      <c r="AJ26" s="1">
        <v>0</v>
      </c>
      <c r="AK26" s="1">
        <v>2.7</v>
      </c>
      <c r="AL26" s="52">
        <v>5.7</v>
      </c>
      <c r="AM26" s="54">
        <v>5.8</v>
      </c>
      <c r="AN26" s="3">
        <v>1.2999999999999998</v>
      </c>
      <c r="AO26" s="3">
        <v>0</v>
      </c>
      <c r="AP26" s="3">
        <v>0</v>
      </c>
      <c r="AQ26" s="3">
        <v>1.7999999999999998</v>
      </c>
      <c r="AR26" s="52">
        <v>5.8</v>
      </c>
      <c r="AS26" s="54">
        <v>5.8</v>
      </c>
      <c r="AT26" s="3">
        <v>1.2999999999999998</v>
      </c>
      <c r="AU26" s="3">
        <v>0</v>
      </c>
      <c r="AV26" s="3">
        <v>0</v>
      </c>
      <c r="AW26" s="3">
        <v>1.7999999999999998</v>
      </c>
      <c r="AX26" s="52">
        <v>5.8</v>
      </c>
      <c r="AY26" s="3"/>
      <c r="AZ26" s="1" t="s">
        <v>48</v>
      </c>
      <c r="BA26" s="1"/>
      <c r="BH26" s="82"/>
      <c r="BP26" s="63">
        <f>SUM(BP16:BP25)</f>
        <v>16727.775749999997</v>
      </c>
      <c r="BV26" s="47"/>
      <c r="BW26" s="47">
        <v>41516</v>
      </c>
      <c r="BX26" t="s">
        <v>29</v>
      </c>
      <c r="BY26">
        <f>AL11</f>
        <v>3.6</v>
      </c>
    </row>
    <row r="27" spans="1:77" x14ac:dyDescent="0.25">
      <c r="A27" s="223"/>
      <c r="B27" t="s">
        <v>12</v>
      </c>
      <c r="C27" s="54">
        <v>4.3</v>
      </c>
      <c r="D27" s="3"/>
      <c r="E27" s="3"/>
      <c r="F27" s="3"/>
      <c r="G27" s="3"/>
      <c r="H27" s="52"/>
      <c r="I27" s="54">
        <v>4.3</v>
      </c>
      <c r="J27" s="3"/>
      <c r="K27" s="3"/>
      <c r="L27" s="3"/>
      <c r="M27" s="3"/>
      <c r="N27" s="52"/>
      <c r="O27" s="55">
        <v>4.3</v>
      </c>
      <c r="P27" s="3"/>
      <c r="Q27" s="3"/>
      <c r="R27" s="3"/>
      <c r="S27" s="3"/>
      <c r="T27" s="52"/>
      <c r="U27" s="54">
        <v>4.3</v>
      </c>
      <c r="V27" s="3"/>
      <c r="W27" s="3"/>
      <c r="X27" s="3"/>
      <c r="Y27" s="3"/>
      <c r="Z27" s="52"/>
      <c r="AA27" s="54">
        <v>4.3</v>
      </c>
      <c r="AB27" s="3"/>
      <c r="AC27" s="3"/>
      <c r="AD27" s="3"/>
      <c r="AE27" s="3"/>
      <c r="AF27" s="52"/>
      <c r="AG27" s="54">
        <v>4.3</v>
      </c>
      <c r="AH27" s="3"/>
      <c r="AI27" s="3"/>
      <c r="AJ27" s="3"/>
      <c r="AK27" s="3"/>
      <c r="AL27" s="52"/>
      <c r="AM27" s="54">
        <v>4.3</v>
      </c>
      <c r="AN27" s="3"/>
      <c r="AO27" s="3"/>
      <c r="AP27" s="3"/>
      <c r="AQ27" s="3"/>
      <c r="AR27" s="52"/>
      <c r="AS27" s="54">
        <v>4.3</v>
      </c>
      <c r="AT27" s="3"/>
      <c r="AU27" s="3"/>
      <c r="AV27" s="3"/>
      <c r="AW27" s="3"/>
      <c r="AX27" s="52"/>
      <c r="AY27" s="3"/>
      <c r="AZ27" s="1" t="s">
        <v>49</v>
      </c>
      <c r="BC27" s="3"/>
      <c r="BH27" s="3"/>
      <c r="BP27" s="63">
        <f>BP14+BP26</f>
        <v>20314.650749999997</v>
      </c>
      <c r="BV27" s="47"/>
      <c r="BW27" s="47">
        <f>BP2</f>
        <v>41535</v>
      </c>
      <c r="BX27" t="s">
        <v>43</v>
      </c>
      <c r="BY27">
        <f>AX5</f>
        <v>2.8</v>
      </c>
    </row>
    <row r="28" spans="1:77" x14ac:dyDescent="0.25">
      <c r="A28" s="223" t="s">
        <v>23</v>
      </c>
      <c r="B28" t="s">
        <v>10</v>
      </c>
      <c r="C28" s="54">
        <v>0</v>
      </c>
      <c r="D28" s="3">
        <v>3</v>
      </c>
      <c r="E28" s="3">
        <v>4.3</v>
      </c>
      <c r="F28" s="3">
        <v>5.6</v>
      </c>
      <c r="G28" s="3">
        <v>6.7</v>
      </c>
      <c r="H28" s="52">
        <v>9.5000000000000018</v>
      </c>
      <c r="I28" s="54">
        <v>0</v>
      </c>
      <c r="J28" s="3">
        <v>3</v>
      </c>
      <c r="K28" s="3">
        <v>4.3</v>
      </c>
      <c r="L28" s="3">
        <v>5.6</v>
      </c>
      <c r="M28" s="3">
        <v>6.7</v>
      </c>
      <c r="N28" s="52">
        <v>9.5000000000000018</v>
      </c>
      <c r="O28" s="55">
        <v>0</v>
      </c>
      <c r="P28" s="1">
        <v>3</v>
      </c>
      <c r="Q28" s="1">
        <v>4.3</v>
      </c>
      <c r="R28" s="1">
        <v>5.8</v>
      </c>
      <c r="S28" s="1">
        <v>7.5</v>
      </c>
      <c r="T28" s="52">
        <v>10.000000000000002</v>
      </c>
      <c r="U28" s="54">
        <v>0</v>
      </c>
      <c r="V28" s="1">
        <v>2.8</v>
      </c>
      <c r="W28" s="1">
        <v>4.5999999999999996</v>
      </c>
      <c r="X28" s="1">
        <v>6.1</v>
      </c>
      <c r="Y28" s="1">
        <v>8.1999999999999993</v>
      </c>
      <c r="Z28" s="52">
        <v>10.3</v>
      </c>
      <c r="AA28" s="54">
        <v>0</v>
      </c>
      <c r="AB28" s="1">
        <v>3</v>
      </c>
      <c r="AC28" s="1">
        <v>6.2</v>
      </c>
      <c r="AD28" s="1">
        <v>7.3</v>
      </c>
      <c r="AE28" s="1">
        <v>11.15</v>
      </c>
      <c r="AF28" s="52">
        <v>14.110000000000003</v>
      </c>
      <c r="AG28" s="54">
        <v>0</v>
      </c>
      <c r="AH28" s="1">
        <v>3.6</v>
      </c>
      <c r="AI28" s="1">
        <v>8.3000000000000007</v>
      </c>
      <c r="AJ28" s="1">
        <v>9.6</v>
      </c>
      <c r="AK28" s="1">
        <v>13.6</v>
      </c>
      <c r="AL28" s="52">
        <v>16</v>
      </c>
      <c r="AM28" s="54">
        <v>0</v>
      </c>
      <c r="AN28" s="3">
        <v>2.8</v>
      </c>
      <c r="AO28" s="3">
        <v>8</v>
      </c>
      <c r="AP28" s="3">
        <v>9.3000000000000007</v>
      </c>
      <c r="AQ28" s="3">
        <v>15.6</v>
      </c>
      <c r="AR28" s="52">
        <v>17.100000000000001</v>
      </c>
      <c r="AS28" s="54">
        <v>0</v>
      </c>
      <c r="AT28" s="3">
        <v>2.8</v>
      </c>
      <c r="AU28" s="3">
        <v>8</v>
      </c>
      <c r="AV28" s="3">
        <v>9.3000000000000007</v>
      </c>
      <c r="AW28" s="3">
        <v>15.6</v>
      </c>
      <c r="AX28" s="52">
        <v>17.100000000000001</v>
      </c>
      <c r="AY28" s="3">
        <f>AX28-H28</f>
        <v>7.6</v>
      </c>
      <c r="BV28" s="47"/>
      <c r="BY28" s="162">
        <f>AVERAGE(BY24:BY27)</f>
        <v>3.45</v>
      </c>
    </row>
    <row r="29" spans="1:77" x14ac:dyDescent="0.25">
      <c r="A29" s="223"/>
      <c r="B29" t="s">
        <v>11</v>
      </c>
      <c r="C29" s="54">
        <v>6</v>
      </c>
      <c r="D29" s="3">
        <v>4.5999999999999996</v>
      </c>
      <c r="E29" s="3">
        <v>0</v>
      </c>
      <c r="F29" s="3">
        <v>0</v>
      </c>
      <c r="G29" s="3">
        <v>3.5</v>
      </c>
      <c r="H29" s="52">
        <v>6</v>
      </c>
      <c r="I29" s="54">
        <v>6</v>
      </c>
      <c r="J29" s="3">
        <v>4.5999999999999996</v>
      </c>
      <c r="K29" s="3">
        <v>0</v>
      </c>
      <c r="L29" s="3">
        <v>0</v>
      </c>
      <c r="M29" s="3">
        <v>3.5</v>
      </c>
      <c r="N29" s="52">
        <v>6</v>
      </c>
      <c r="O29" s="55">
        <v>6</v>
      </c>
      <c r="P29" s="1">
        <v>3</v>
      </c>
      <c r="Q29" s="1">
        <v>0</v>
      </c>
      <c r="R29" s="1">
        <v>0</v>
      </c>
      <c r="S29" s="1">
        <v>4</v>
      </c>
      <c r="T29" s="52">
        <v>6</v>
      </c>
      <c r="U29" s="55">
        <v>6</v>
      </c>
      <c r="V29" s="1">
        <v>2.6</v>
      </c>
      <c r="W29" s="1">
        <v>0</v>
      </c>
      <c r="X29" s="1">
        <v>0</v>
      </c>
      <c r="Y29" s="1">
        <v>3.7</v>
      </c>
      <c r="Z29" s="52">
        <v>6</v>
      </c>
      <c r="AA29" s="55">
        <v>6</v>
      </c>
      <c r="AB29" s="1">
        <v>2.6</v>
      </c>
      <c r="AC29" s="1">
        <v>0</v>
      </c>
      <c r="AD29" s="1">
        <v>0</v>
      </c>
      <c r="AE29" s="1">
        <v>4.0999999999999996</v>
      </c>
      <c r="AF29" s="52">
        <v>6</v>
      </c>
      <c r="AG29" s="54">
        <v>6</v>
      </c>
      <c r="AH29" s="3">
        <v>1.5</v>
      </c>
      <c r="AI29" s="3">
        <v>0</v>
      </c>
      <c r="AJ29" s="3">
        <v>0</v>
      </c>
      <c r="AK29" s="3">
        <v>2.2999999999999998</v>
      </c>
      <c r="AL29" s="52">
        <v>6</v>
      </c>
      <c r="AM29" s="54">
        <v>6</v>
      </c>
      <c r="AN29" s="3">
        <v>1.5</v>
      </c>
      <c r="AO29" s="3">
        <v>0</v>
      </c>
      <c r="AP29" s="3">
        <v>0</v>
      </c>
      <c r="AQ29" s="3">
        <v>2</v>
      </c>
      <c r="AR29" s="52">
        <v>6</v>
      </c>
      <c r="AS29" s="54">
        <v>6</v>
      </c>
      <c r="AT29" s="3">
        <v>1.5</v>
      </c>
      <c r="AU29" s="3">
        <v>0</v>
      </c>
      <c r="AV29" s="3">
        <v>0</v>
      </c>
      <c r="AW29" s="3">
        <v>2</v>
      </c>
      <c r="AX29" s="52">
        <v>6</v>
      </c>
      <c r="AY29" s="3"/>
      <c r="BC29" t="s">
        <v>50</v>
      </c>
      <c r="BD29" t="s">
        <v>42</v>
      </c>
      <c r="BE29" t="s">
        <v>54</v>
      </c>
      <c r="BF29" t="s">
        <v>55</v>
      </c>
      <c r="BH29" t="s">
        <v>59</v>
      </c>
      <c r="BX29" t="s">
        <v>156</v>
      </c>
    </row>
    <row r="30" spans="1:77" x14ac:dyDescent="0.25">
      <c r="A30" s="223"/>
      <c r="B30" t="s">
        <v>12</v>
      </c>
      <c r="C30" s="54">
        <v>12.7</v>
      </c>
      <c r="D30" s="3"/>
      <c r="E30" s="3"/>
      <c r="F30" s="3"/>
      <c r="G30" s="3"/>
      <c r="H30" s="52"/>
      <c r="I30" s="54">
        <v>12.7</v>
      </c>
      <c r="J30" s="3"/>
      <c r="K30" s="3"/>
      <c r="L30" s="3"/>
      <c r="M30" s="3"/>
      <c r="N30" s="52"/>
      <c r="O30" s="55">
        <v>12.7</v>
      </c>
      <c r="P30" s="3"/>
      <c r="Q30" s="3"/>
      <c r="R30" s="3"/>
      <c r="S30" s="3"/>
      <c r="T30" s="52"/>
      <c r="U30" s="54">
        <v>12.7</v>
      </c>
      <c r="V30" s="3"/>
      <c r="W30" s="3"/>
      <c r="X30" s="3"/>
      <c r="Y30" s="3"/>
      <c r="Z30" s="52"/>
      <c r="AA30" s="54">
        <v>12.7</v>
      </c>
      <c r="AB30" s="3"/>
      <c r="AC30" s="3"/>
      <c r="AD30" s="3"/>
      <c r="AE30" s="3"/>
      <c r="AF30" s="52"/>
      <c r="AG30" s="54">
        <v>12.7</v>
      </c>
      <c r="AH30" s="3"/>
      <c r="AI30" s="3"/>
      <c r="AJ30" s="3"/>
      <c r="AK30" s="3"/>
      <c r="AL30" s="52"/>
      <c r="AM30" s="54">
        <v>12.7</v>
      </c>
      <c r="AN30" s="3"/>
      <c r="AO30" s="3"/>
      <c r="AP30" s="3"/>
      <c r="AQ30" s="3"/>
      <c r="AR30" s="52"/>
      <c r="AS30" s="54">
        <v>12.7</v>
      </c>
      <c r="AT30" s="3"/>
      <c r="AU30" s="3"/>
      <c r="AV30" s="3"/>
      <c r="AW30" s="3"/>
      <c r="AX30" s="52"/>
      <c r="AY30" s="3"/>
      <c r="BA30" t="s">
        <v>9</v>
      </c>
      <c r="BC30" s="46">
        <v>0</v>
      </c>
      <c r="BD30" s="97">
        <v>289.30352057333334</v>
      </c>
      <c r="BE30">
        <v>1.4</v>
      </c>
      <c r="BF30">
        <v>12.4</v>
      </c>
      <c r="BI30">
        <f>-1*BE30</f>
        <v>-1.4</v>
      </c>
    </row>
    <row r="31" spans="1:77" x14ac:dyDescent="0.25">
      <c r="A31" s="223" t="s">
        <v>22</v>
      </c>
      <c r="B31" t="s">
        <v>10</v>
      </c>
      <c r="C31" s="54">
        <v>0</v>
      </c>
      <c r="D31" s="3">
        <v>7.2</v>
      </c>
      <c r="E31" s="3">
        <v>12.3</v>
      </c>
      <c r="F31" s="3">
        <v>13.5</v>
      </c>
      <c r="G31" s="3">
        <v>20</v>
      </c>
      <c r="H31" s="52">
        <v>26.199999999999996</v>
      </c>
      <c r="I31" s="54">
        <v>0</v>
      </c>
      <c r="J31" s="3">
        <v>7.2</v>
      </c>
      <c r="K31" s="3">
        <v>12.3</v>
      </c>
      <c r="L31" s="3">
        <v>13.5</v>
      </c>
      <c r="M31" s="3">
        <v>20</v>
      </c>
      <c r="N31" s="52">
        <v>26.199999999999996</v>
      </c>
      <c r="O31" s="55">
        <v>0</v>
      </c>
      <c r="P31" s="3">
        <v>7.2</v>
      </c>
      <c r="Q31" s="3">
        <v>12.3</v>
      </c>
      <c r="R31" s="3">
        <v>13.5</v>
      </c>
      <c r="S31" s="3">
        <v>20</v>
      </c>
      <c r="T31" s="52">
        <v>25.8</v>
      </c>
      <c r="U31" s="54">
        <v>0</v>
      </c>
      <c r="V31" s="1">
        <v>7.8</v>
      </c>
      <c r="W31" s="1">
        <v>14</v>
      </c>
      <c r="X31" s="1">
        <v>15</v>
      </c>
      <c r="Y31" s="1">
        <v>20</v>
      </c>
      <c r="Z31" s="52">
        <v>27.299999999999997</v>
      </c>
      <c r="AA31" s="54">
        <v>0</v>
      </c>
      <c r="AB31" s="1">
        <v>8</v>
      </c>
      <c r="AC31" s="1">
        <v>14.5</v>
      </c>
      <c r="AD31" s="1">
        <v>15.6</v>
      </c>
      <c r="AE31" s="1">
        <v>29</v>
      </c>
      <c r="AF31" s="52">
        <v>31.29</v>
      </c>
      <c r="AG31" s="54">
        <v>0</v>
      </c>
      <c r="AH31" s="3">
        <v>6</v>
      </c>
      <c r="AI31" s="3">
        <v>15.6</v>
      </c>
      <c r="AJ31" s="3">
        <v>17.600000000000001</v>
      </c>
      <c r="AK31" s="3">
        <v>32</v>
      </c>
      <c r="AL31" s="52">
        <v>32.849999999999994</v>
      </c>
      <c r="AM31" s="54">
        <v>0</v>
      </c>
      <c r="AN31" s="3">
        <v>3</v>
      </c>
      <c r="AO31" s="3">
        <v>15.6</v>
      </c>
      <c r="AP31" s="3">
        <v>17.600000000000001</v>
      </c>
      <c r="AQ31" s="3">
        <v>29.4</v>
      </c>
      <c r="AR31" s="52">
        <v>33.799999999999997</v>
      </c>
      <c r="AS31" s="54">
        <v>0</v>
      </c>
      <c r="AT31" s="3">
        <v>3</v>
      </c>
      <c r="AU31" s="3">
        <v>15.6</v>
      </c>
      <c r="AV31" s="3">
        <v>17.600000000000001</v>
      </c>
      <c r="AW31" s="3">
        <v>29.4</v>
      </c>
      <c r="AX31" s="52">
        <v>33.799999999999997</v>
      </c>
      <c r="AY31" s="3">
        <f>AX31-H31</f>
        <v>7.6000000000000014</v>
      </c>
      <c r="BA31" t="s">
        <v>13</v>
      </c>
      <c r="BC31" s="46">
        <v>22.6</v>
      </c>
      <c r="BD31" s="97">
        <v>586.14952500000004</v>
      </c>
      <c r="BE31">
        <v>2.9</v>
      </c>
      <c r="BF31">
        <v>9</v>
      </c>
      <c r="BI31">
        <f t="shared" ref="BI31:BI49" si="20">-1*BE31</f>
        <v>-2.9</v>
      </c>
    </row>
    <row r="32" spans="1:77" x14ac:dyDescent="0.25">
      <c r="A32" s="223"/>
      <c r="B32" t="s">
        <v>11</v>
      </c>
      <c r="C32" s="54">
        <v>6.6</v>
      </c>
      <c r="D32" s="3">
        <v>4.2</v>
      </c>
      <c r="E32" s="3">
        <v>0</v>
      </c>
      <c r="F32" s="3">
        <v>0</v>
      </c>
      <c r="G32" s="3">
        <v>3.8</v>
      </c>
      <c r="H32" s="52">
        <v>6.6</v>
      </c>
      <c r="I32" s="54">
        <v>6.6</v>
      </c>
      <c r="J32" s="3">
        <v>4.2</v>
      </c>
      <c r="K32" s="3">
        <v>0</v>
      </c>
      <c r="L32" s="3">
        <v>0</v>
      </c>
      <c r="M32" s="3">
        <v>3.8</v>
      </c>
      <c r="N32" s="52">
        <v>6.6</v>
      </c>
      <c r="O32" s="55">
        <v>6.6</v>
      </c>
      <c r="P32" s="1">
        <v>3.75</v>
      </c>
      <c r="Q32" s="1">
        <v>0</v>
      </c>
      <c r="R32" s="1">
        <v>0</v>
      </c>
      <c r="S32" s="1">
        <v>4.13</v>
      </c>
      <c r="T32" s="52">
        <v>6.6</v>
      </c>
      <c r="U32" s="54">
        <v>6.2</v>
      </c>
      <c r="V32" s="1">
        <v>3.7</v>
      </c>
      <c r="W32" s="1">
        <v>0</v>
      </c>
      <c r="X32" s="1">
        <v>0</v>
      </c>
      <c r="Y32" s="1">
        <v>3.8</v>
      </c>
      <c r="Z32" s="52">
        <v>6.2</v>
      </c>
      <c r="AA32" s="54">
        <v>6.6</v>
      </c>
      <c r="AB32" s="1">
        <v>3.5</v>
      </c>
      <c r="AC32" s="1">
        <v>0</v>
      </c>
      <c r="AD32" s="1">
        <v>0</v>
      </c>
      <c r="AE32" s="1">
        <v>3.4</v>
      </c>
      <c r="AF32" s="52">
        <v>6.6</v>
      </c>
      <c r="AG32" s="54">
        <v>6.6</v>
      </c>
      <c r="AH32" s="3">
        <v>4.5999999999999996</v>
      </c>
      <c r="AI32" s="3">
        <v>0</v>
      </c>
      <c r="AJ32" s="3">
        <v>0</v>
      </c>
      <c r="AK32" s="3">
        <v>5.3999999999999995</v>
      </c>
      <c r="AL32" s="52">
        <v>6.6</v>
      </c>
      <c r="AM32" s="54">
        <v>6.6</v>
      </c>
      <c r="AN32" s="3">
        <v>3.2</v>
      </c>
      <c r="AO32" s="3">
        <v>0</v>
      </c>
      <c r="AP32" s="3">
        <v>0</v>
      </c>
      <c r="AQ32" s="3">
        <v>4.7</v>
      </c>
      <c r="AR32" s="52">
        <v>6.6</v>
      </c>
      <c r="AS32" s="54">
        <v>6.6</v>
      </c>
      <c r="AT32" s="3">
        <v>3.2</v>
      </c>
      <c r="AU32" s="3">
        <v>0</v>
      </c>
      <c r="AV32" s="3">
        <v>0</v>
      </c>
      <c r="AW32" s="3">
        <v>4.7</v>
      </c>
      <c r="AX32" s="52">
        <v>6.6</v>
      </c>
      <c r="AY32" s="3"/>
      <c r="BA32" t="s">
        <v>14</v>
      </c>
      <c r="BC32" s="46">
        <v>56.800000000000004</v>
      </c>
      <c r="BD32" s="97">
        <v>1297.969449066667</v>
      </c>
      <c r="BE32">
        <v>2.4</v>
      </c>
      <c r="BF32">
        <v>14</v>
      </c>
      <c r="BI32">
        <f t="shared" si="20"/>
        <v>-2.4</v>
      </c>
    </row>
    <row r="33" spans="1:63" ht="15.75" thickBot="1" x14ac:dyDescent="0.3">
      <c r="A33" s="223"/>
      <c r="B33" t="s">
        <v>12</v>
      </c>
      <c r="C33" s="57">
        <v>17.8</v>
      </c>
      <c r="D33" s="58"/>
      <c r="E33" s="58"/>
      <c r="F33" s="58"/>
      <c r="G33" s="58"/>
      <c r="H33" s="59"/>
      <c r="I33" s="57">
        <v>17.8</v>
      </c>
      <c r="J33" s="58"/>
      <c r="K33" s="58"/>
      <c r="L33" s="58"/>
      <c r="M33" s="58"/>
      <c r="N33" s="59"/>
      <c r="O33" s="60">
        <v>17.8</v>
      </c>
      <c r="P33" s="58"/>
      <c r="Q33" s="58"/>
      <c r="R33" s="58"/>
      <c r="S33" s="58"/>
      <c r="T33" s="59"/>
      <c r="U33" s="57">
        <v>17.8</v>
      </c>
      <c r="V33" s="58"/>
      <c r="W33" s="58"/>
      <c r="X33" s="58"/>
      <c r="Y33" s="58"/>
      <c r="Z33" s="59"/>
      <c r="AA33" s="57">
        <v>17.8</v>
      </c>
      <c r="AB33" s="58"/>
      <c r="AC33" s="58"/>
      <c r="AD33" s="58"/>
      <c r="AE33" s="58"/>
      <c r="AF33" s="59"/>
      <c r="AG33" s="57">
        <v>17.8</v>
      </c>
      <c r="AH33" s="58"/>
      <c r="AI33" s="58"/>
      <c r="AJ33" s="58"/>
      <c r="AK33" s="58"/>
      <c r="AL33" s="59"/>
      <c r="AM33" s="57">
        <v>17.8</v>
      </c>
      <c r="AN33" s="58"/>
      <c r="AO33" s="58"/>
      <c r="AP33" s="58"/>
      <c r="AQ33" s="58"/>
      <c r="AR33" s="59"/>
      <c r="AS33" s="57">
        <v>17.8</v>
      </c>
      <c r="AT33" s="58"/>
      <c r="AU33" s="58"/>
      <c r="AV33" s="58"/>
      <c r="AW33" s="58"/>
      <c r="AX33" s="59"/>
      <c r="AY33" s="3"/>
      <c r="BA33" t="s">
        <v>15</v>
      </c>
      <c r="BC33" s="46">
        <v>73.400000000000006</v>
      </c>
      <c r="BD33" s="97">
        <v>263.23519858666663</v>
      </c>
      <c r="BE33">
        <v>2.2999999999999998</v>
      </c>
      <c r="BF33">
        <v>8.6</v>
      </c>
      <c r="BI33">
        <f t="shared" si="20"/>
        <v>-2.2999999999999998</v>
      </c>
    </row>
    <row r="34" spans="1:63" x14ac:dyDescent="0.25">
      <c r="A34" s="223" t="s">
        <v>21</v>
      </c>
      <c r="AS34" s="61">
        <v>0</v>
      </c>
      <c r="AT34" s="50">
        <v>10</v>
      </c>
      <c r="AU34" s="50">
        <v>15.6</v>
      </c>
      <c r="AV34" s="50">
        <v>18.600000000000001</v>
      </c>
      <c r="AW34" s="50">
        <v>24</v>
      </c>
      <c r="AX34" s="51">
        <v>35</v>
      </c>
      <c r="AY34" s="3">
        <f>AVERAGE(AX31,AX28,AX25,AX22,AX19,AX16,AX13,AX10,AX7,AX4)</f>
        <v>13.760000000000002</v>
      </c>
      <c r="BA34" t="s">
        <v>16</v>
      </c>
      <c r="BC34" s="46">
        <v>79.2</v>
      </c>
      <c r="BD34" s="97">
        <v>1070.8733750000001</v>
      </c>
      <c r="BE34">
        <v>3</v>
      </c>
      <c r="BF34">
        <v>9</v>
      </c>
      <c r="BI34">
        <f t="shared" si="20"/>
        <v>-3</v>
      </c>
    </row>
    <row r="35" spans="1:63" x14ac:dyDescent="0.25">
      <c r="A35" s="223"/>
      <c r="AS35" s="55">
        <v>4.2</v>
      </c>
      <c r="AT35" s="1">
        <v>1.3</v>
      </c>
      <c r="AU35" s="1">
        <v>0</v>
      </c>
      <c r="AV35" s="1">
        <v>0</v>
      </c>
      <c r="AW35" s="1">
        <v>1.9</v>
      </c>
      <c r="AX35" s="52">
        <v>4.2</v>
      </c>
      <c r="AY35" s="3">
        <f>AVERAGE(AX32,AX29,AX26,AX23,AX20,AX17,AX14,AX11,AX8,AX5)</f>
        <v>4.7699999999999987</v>
      </c>
      <c r="BA35" t="s">
        <v>17</v>
      </c>
      <c r="BC35" s="46">
        <v>92.4</v>
      </c>
      <c r="BD35" s="97">
        <v>2122.751842933334</v>
      </c>
      <c r="BE35">
        <v>6.6</v>
      </c>
      <c r="BF35">
        <v>31.4</v>
      </c>
      <c r="BH35" s="99">
        <v>1.9</v>
      </c>
      <c r="BI35">
        <f t="shared" si="20"/>
        <v>-6.6</v>
      </c>
      <c r="BK35">
        <v>-1.39</v>
      </c>
    </row>
    <row r="36" spans="1:63" ht="15.75" thickBot="1" x14ac:dyDescent="0.3">
      <c r="A36" s="223"/>
      <c r="AS36" s="57">
        <v>27</v>
      </c>
      <c r="AT36" s="58"/>
      <c r="AU36" s="58"/>
      <c r="AV36" s="58"/>
      <c r="AW36" s="58"/>
      <c r="AX36" s="59"/>
      <c r="AY36" s="3"/>
      <c r="BA36" t="s">
        <v>18</v>
      </c>
      <c r="BC36" s="46">
        <v>109.7</v>
      </c>
      <c r="BD36" s="97">
        <v>4759.4749999999995</v>
      </c>
      <c r="BE36">
        <v>5.0999999999999996</v>
      </c>
      <c r="BF36">
        <v>23</v>
      </c>
      <c r="BI36">
        <f t="shared" si="20"/>
        <v>-5.0999999999999996</v>
      </c>
    </row>
    <row r="37" spans="1:63" x14ac:dyDescent="0.25">
      <c r="A37" s="223" t="s">
        <v>20</v>
      </c>
      <c r="AS37" s="62">
        <v>0</v>
      </c>
      <c r="AT37" s="50">
        <v>8</v>
      </c>
      <c r="AU37" s="50">
        <v>14.9</v>
      </c>
      <c r="AV37" s="50">
        <v>17.5</v>
      </c>
      <c r="AW37" s="50">
        <v>25</v>
      </c>
      <c r="AX37" s="51">
        <v>33.200000000000003</v>
      </c>
      <c r="AY37" s="3"/>
      <c r="BA37" t="s">
        <v>19</v>
      </c>
      <c r="BC37" s="46">
        <v>165.7</v>
      </c>
      <c r="BD37" s="97">
        <v>1382.8879166666666</v>
      </c>
      <c r="BE37">
        <v>4.5999999999999996</v>
      </c>
      <c r="BF37">
        <v>38.5</v>
      </c>
      <c r="BI37">
        <f t="shared" si="20"/>
        <v>-4.5999999999999996</v>
      </c>
    </row>
    <row r="38" spans="1:63" x14ac:dyDescent="0.25">
      <c r="A38" s="223"/>
      <c r="AS38" s="54">
        <v>5.5</v>
      </c>
      <c r="AT38" s="1">
        <v>2</v>
      </c>
      <c r="AU38" s="1">
        <v>0</v>
      </c>
      <c r="AV38" s="1">
        <v>0</v>
      </c>
      <c r="AW38" s="1">
        <v>2.7</v>
      </c>
      <c r="AX38" s="52">
        <v>5.5</v>
      </c>
      <c r="AY38" s="3"/>
      <c r="BA38" t="s">
        <v>20</v>
      </c>
      <c r="BC38" s="46">
        <v>185.7</v>
      </c>
      <c r="BD38" s="97">
        <v>1951.7804133333336</v>
      </c>
      <c r="BE38">
        <v>5.5</v>
      </c>
      <c r="BF38">
        <v>33.200000000000003</v>
      </c>
      <c r="BI38">
        <f t="shared" si="20"/>
        <v>-5.5</v>
      </c>
    </row>
    <row r="39" spans="1:63" ht="15.75" thickBot="1" x14ac:dyDescent="0.3">
      <c r="A39" s="223"/>
      <c r="AS39" s="57">
        <v>35</v>
      </c>
      <c r="AT39" s="58"/>
      <c r="AU39" s="58"/>
      <c r="AV39" s="58"/>
      <c r="AW39" s="58"/>
      <c r="AX39" s="59"/>
      <c r="AY39" s="3"/>
      <c r="BA39" t="s">
        <v>21</v>
      </c>
      <c r="BC39" s="46">
        <v>220.7</v>
      </c>
      <c r="BD39" s="97">
        <v>3278.6744867999992</v>
      </c>
      <c r="BE39">
        <v>4.2</v>
      </c>
      <c r="BF39">
        <v>35</v>
      </c>
      <c r="BI39">
        <f t="shared" si="20"/>
        <v>-4.2</v>
      </c>
    </row>
    <row r="40" spans="1:63" x14ac:dyDescent="0.25">
      <c r="A40" s="223" t="s">
        <v>19</v>
      </c>
      <c r="AS40" s="62">
        <v>0</v>
      </c>
      <c r="AT40" s="50">
        <v>0.4</v>
      </c>
      <c r="AU40" s="50">
        <v>20</v>
      </c>
      <c r="AV40" s="50">
        <v>28.7</v>
      </c>
      <c r="AW40" s="50">
        <v>37.6</v>
      </c>
      <c r="AX40" s="51">
        <v>38.5</v>
      </c>
      <c r="AY40" s="3"/>
      <c r="BA40" t="s">
        <v>22</v>
      </c>
      <c r="BC40" s="46">
        <v>247.7</v>
      </c>
      <c r="BD40" s="97">
        <v>2007.1470655132491</v>
      </c>
      <c r="BE40">
        <v>6.6</v>
      </c>
      <c r="BF40">
        <v>33.799999999999997</v>
      </c>
      <c r="BI40">
        <f t="shared" si="20"/>
        <v>-6.6</v>
      </c>
    </row>
    <row r="41" spans="1:63" x14ac:dyDescent="0.25">
      <c r="A41" s="223"/>
      <c r="AS41" s="54">
        <v>4.5999999999999996</v>
      </c>
      <c r="AT41" s="3">
        <v>4</v>
      </c>
      <c r="AU41" s="1">
        <v>0</v>
      </c>
      <c r="AV41" s="1">
        <v>0</v>
      </c>
      <c r="AW41" s="3">
        <v>3.9</v>
      </c>
      <c r="AX41" s="52">
        <v>4.5999999999999996</v>
      </c>
      <c r="AY41" s="3"/>
      <c r="BA41" s="99" t="s">
        <v>23</v>
      </c>
      <c r="BC41" s="46">
        <v>265.5</v>
      </c>
      <c r="BD41" s="97">
        <v>926.89591518570842</v>
      </c>
      <c r="BE41">
        <v>6</v>
      </c>
      <c r="BF41">
        <v>17.100000000000001</v>
      </c>
      <c r="BI41">
        <f t="shared" si="20"/>
        <v>-6</v>
      </c>
    </row>
    <row r="42" spans="1:63" ht="15.75" thickBot="1" x14ac:dyDescent="0.3">
      <c r="A42" s="223"/>
      <c r="AS42" s="57">
        <v>20</v>
      </c>
      <c r="AT42" s="58"/>
      <c r="AU42" s="58"/>
      <c r="AV42" s="58"/>
      <c r="AW42" s="58"/>
      <c r="AX42" s="59"/>
      <c r="AY42" s="3"/>
      <c r="BA42" s="99" t="s">
        <v>24</v>
      </c>
      <c r="BC42" s="46">
        <v>278.2</v>
      </c>
      <c r="BD42" s="97">
        <v>256.69205440866676</v>
      </c>
      <c r="BE42">
        <v>5.8</v>
      </c>
      <c r="BF42">
        <v>16.600000000000001</v>
      </c>
      <c r="BI42">
        <f t="shared" si="20"/>
        <v>-5.8</v>
      </c>
    </row>
    <row r="43" spans="1:63" x14ac:dyDescent="0.25">
      <c r="A43" s="223" t="s">
        <v>18</v>
      </c>
      <c r="AS43" s="62">
        <v>0</v>
      </c>
      <c r="AT43" s="50">
        <v>1.6</v>
      </c>
      <c r="AU43" s="50">
        <v>9.8000000000000007</v>
      </c>
      <c r="AV43" s="50">
        <v>12.6</v>
      </c>
      <c r="AW43" s="50">
        <v>22.7</v>
      </c>
      <c r="AX43" s="51">
        <v>23</v>
      </c>
      <c r="AY43" s="3"/>
      <c r="BA43" s="99" t="s">
        <v>25</v>
      </c>
      <c r="BC43" s="46">
        <v>282.5</v>
      </c>
      <c r="BD43" s="97">
        <v>56.143804008000004</v>
      </c>
      <c r="BE43">
        <v>5.9</v>
      </c>
      <c r="BF43">
        <v>13.4</v>
      </c>
      <c r="BH43" s="99">
        <v>2.16</v>
      </c>
      <c r="BI43">
        <f t="shared" si="20"/>
        <v>-5.9</v>
      </c>
      <c r="BK43">
        <f>BH43*-1</f>
        <v>-2.16</v>
      </c>
    </row>
    <row r="44" spans="1:63" x14ac:dyDescent="0.25">
      <c r="A44" s="223"/>
      <c r="AS44" s="54">
        <v>5.0999999999999996</v>
      </c>
      <c r="AT44" s="1">
        <v>3</v>
      </c>
      <c r="AU44" s="1">
        <v>0</v>
      </c>
      <c r="AV44" s="1">
        <v>0</v>
      </c>
      <c r="AW44" s="3">
        <v>4.3</v>
      </c>
      <c r="AX44" s="52">
        <v>5.0999999999999996</v>
      </c>
      <c r="AY44" s="3"/>
      <c r="BA44" s="99" t="s">
        <v>26</v>
      </c>
      <c r="BC44" s="46">
        <v>283.7</v>
      </c>
      <c r="BD44" s="97">
        <v>94.24684937666666</v>
      </c>
      <c r="BE44">
        <v>4.9000000000000004</v>
      </c>
      <c r="BF44">
        <v>13.4</v>
      </c>
      <c r="BI44">
        <f t="shared" si="20"/>
        <v>-4.9000000000000004</v>
      </c>
    </row>
    <row r="45" spans="1:63" ht="15.75" thickBot="1" x14ac:dyDescent="0.3">
      <c r="A45" s="223"/>
      <c r="AS45" s="57">
        <v>56</v>
      </c>
      <c r="AT45" s="58"/>
      <c r="AU45" s="58"/>
      <c r="AV45" s="58"/>
      <c r="AW45" s="58"/>
      <c r="AX45" s="59"/>
      <c r="AY45" s="3"/>
      <c r="AZ45" s="3"/>
      <c r="BA45" s="99" t="s">
        <v>27</v>
      </c>
      <c r="BC45" s="46">
        <v>286</v>
      </c>
      <c r="BD45" s="97">
        <v>128.79521333333332</v>
      </c>
      <c r="BE45">
        <v>4.4000000000000004</v>
      </c>
      <c r="BF45">
        <v>13</v>
      </c>
      <c r="BI45">
        <f t="shared" si="20"/>
        <v>-4.4000000000000004</v>
      </c>
    </row>
    <row r="46" spans="1:63" x14ac:dyDescent="0.25">
      <c r="A46" s="223" t="s">
        <v>17</v>
      </c>
      <c r="AS46" s="62">
        <v>0</v>
      </c>
      <c r="AT46" s="50">
        <v>11</v>
      </c>
      <c r="AU46" s="50">
        <v>15.3</v>
      </c>
      <c r="AV46" s="50">
        <v>17.600000000000001</v>
      </c>
      <c r="AW46" s="50">
        <v>21</v>
      </c>
      <c r="AX46" s="51">
        <v>31.4</v>
      </c>
      <c r="AY46" s="3"/>
      <c r="AZ46" s="3"/>
      <c r="BA46" s="99" t="s">
        <v>28</v>
      </c>
      <c r="BC46" s="46">
        <v>290.10000000000002</v>
      </c>
      <c r="BD46" s="97">
        <v>160.40481917625002</v>
      </c>
      <c r="BE46">
        <v>3.1</v>
      </c>
      <c r="BF46">
        <v>10</v>
      </c>
      <c r="BI46">
        <f t="shared" si="20"/>
        <v>-3.1</v>
      </c>
    </row>
    <row r="47" spans="1:63" x14ac:dyDescent="0.25">
      <c r="A47" s="223"/>
      <c r="AS47" s="54">
        <v>6.6</v>
      </c>
      <c r="AT47" s="1">
        <v>1.6</v>
      </c>
      <c r="AU47" s="1">
        <v>0</v>
      </c>
      <c r="AV47" s="1">
        <v>0</v>
      </c>
      <c r="AW47" s="1">
        <v>2.1</v>
      </c>
      <c r="AX47" s="52">
        <v>6.6</v>
      </c>
      <c r="AY47" s="3"/>
      <c r="AZ47" s="3"/>
      <c r="BA47" t="s">
        <v>29</v>
      </c>
      <c r="BC47" s="46">
        <v>296</v>
      </c>
      <c r="BD47" s="97">
        <v>97.062488790833342</v>
      </c>
      <c r="BE47">
        <v>4.3</v>
      </c>
      <c r="BF47">
        <v>9.3000000000000007</v>
      </c>
      <c r="BI47">
        <f t="shared" si="20"/>
        <v>-4.3</v>
      </c>
    </row>
    <row r="48" spans="1:63" ht="15.75" thickBot="1" x14ac:dyDescent="0.3">
      <c r="A48" s="223"/>
      <c r="AS48" s="57">
        <v>17.3</v>
      </c>
      <c r="AT48" s="58"/>
      <c r="AU48" s="58"/>
      <c r="AV48" s="58"/>
      <c r="AW48" s="58"/>
      <c r="AX48" s="59"/>
      <c r="AY48" s="3"/>
      <c r="AZ48" s="3"/>
      <c r="BA48" t="s">
        <v>30</v>
      </c>
      <c r="BC48" s="46">
        <v>299.39999999999998</v>
      </c>
      <c r="BD48" s="97">
        <v>46.437386666666669</v>
      </c>
      <c r="BE48">
        <v>3.9</v>
      </c>
      <c r="BF48">
        <v>8</v>
      </c>
      <c r="BI48">
        <f t="shared" si="20"/>
        <v>-3.9</v>
      </c>
    </row>
    <row r="49" spans="1:63" x14ac:dyDescent="0.25">
      <c r="A49" s="223" t="s">
        <v>16</v>
      </c>
      <c r="AS49" s="62">
        <v>0</v>
      </c>
      <c r="AT49" s="50">
        <v>1</v>
      </c>
      <c r="AU49" s="50">
        <v>4.2</v>
      </c>
      <c r="AV49" s="50">
        <v>6.3</v>
      </c>
      <c r="AW49" s="50">
        <v>8.1</v>
      </c>
      <c r="AX49" s="51">
        <v>9</v>
      </c>
      <c r="AY49" s="3"/>
      <c r="AZ49" s="3"/>
      <c r="BA49" t="s">
        <v>43</v>
      </c>
      <c r="BC49">
        <v>302</v>
      </c>
      <c r="BD49">
        <v>0</v>
      </c>
      <c r="BE49">
        <v>2.8</v>
      </c>
      <c r="BF49">
        <v>3</v>
      </c>
      <c r="BH49" s="99">
        <v>0.91</v>
      </c>
      <c r="BI49">
        <f t="shared" si="20"/>
        <v>-2.8</v>
      </c>
      <c r="BK49">
        <v>-0.45</v>
      </c>
    </row>
    <row r="50" spans="1:63" x14ac:dyDescent="0.25">
      <c r="A50" s="223"/>
      <c r="AS50" s="54">
        <v>3</v>
      </c>
      <c r="AT50" s="3">
        <v>0.7</v>
      </c>
      <c r="AU50" s="1">
        <v>0</v>
      </c>
      <c r="AV50" s="1">
        <v>0</v>
      </c>
      <c r="AW50" s="3">
        <v>0.4</v>
      </c>
      <c r="AX50" s="52">
        <v>3</v>
      </c>
      <c r="AY50" s="3"/>
      <c r="AZ50" s="3"/>
      <c r="BC50" t="s">
        <v>48</v>
      </c>
      <c r="BD50">
        <v>17003.100727959998</v>
      </c>
      <c r="BF50" s="64"/>
      <c r="BG50" s="64"/>
    </row>
    <row r="51" spans="1:63" ht="15.75" thickBot="1" x14ac:dyDescent="0.3">
      <c r="A51" s="223"/>
      <c r="AS51" s="57">
        <v>13.2</v>
      </c>
      <c r="AT51" s="58"/>
      <c r="AU51" s="58"/>
      <c r="AV51" s="58"/>
      <c r="AW51" s="58"/>
      <c r="AX51" s="59"/>
      <c r="AY51" s="3"/>
      <c r="AZ51" s="3"/>
      <c r="BC51" t="s">
        <v>49</v>
      </c>
      <c r="BD51">
        <v>20776.926324419372</v>
      </c>
      <c r="BI51" t="s">
        <v>78</v>
      </c>
      <c r="BK51" s="64">
        <f>AVERAGE(BI41:BI49)</f>
        <v>-4.5666666666666664</v>
      </c>
    </row>
    <row r="52" spans="1:63" x14ac:dyDescent="0.25">
      <c r="A52" s="223" t="s">
        <v>15</v>
      </c>
      <c r="AS52" s="62">
        <v>0</v>
      </c>
      <c r="AT52" s="50">
        <v>2</v>
      </c>
      <c r="AU52" s="50">
        <v>3.4</v>
      </c>
      <c r="AV52" s="50">
        <v>5.7</v>
      </c>
      <c r="AW52" s="50">
        <v>7</v>
      </c>
      <c r="AX52" s="51">
        <v>8.6</v>
      </c>
      <c r="AY52" s="3"/>
      <c r="AZ52" s="3" t="s">
        <v>51</v>
      </c>
      <c r="BD52">
        <f>AVERAGE(AX5,AX8,AX11,AX14,AX17,AX20,AX23,AX26,AX29,AX32,AX35,AX38,AX41,AX44,AX47,AX50,AX53,AX56,AX59,AX62)</f>
        <v>4.2850000000000001</v>
      </c>
    </row>
    <row r="53" spans="1:63" x14ac:dyDescent="0.25">
      <c r="A53" s="223"/>
      <c r="AS53" s="54">
        <v>2.2999999999999998</v>
      </c>
      <c r="AT53" s="1">
        <v>0.5</v>
      </c>
      <c r="AU53" s="1">
        <v>0</v>
      </c>
      <c r="AV53" s="1">
        <v>0</v>
      </c>
      <c r="AW53" s="1">
        <v>0.6</v>
      </c>
      <c r="AX53" s="52">
        <v>2.2999999999999998</v>
      </c>
      <c r="AY53" s="3"/>
      <c r="AZ53" s="3" t="s">
        <v>52</v>
      </c>
      <c r="BD53" s="63">
        <f>BD51/BD52</f>
        <v>4848.7576019648477</v>
      </c>
    </row>
    <row r="54" spans="1:63" ht="15.75" thickBot="1" x14ac:dyDescent="0.3">
      <c r="A54" s="223"/>
      <c r="AS54" s="57">
        <v>5.8</v>
      </c>
      <c r="AT54" s="58"/>
      <c r="AU54" s="58"/>
      <c r="AV54" s="58"/>
      <c r="AW54" s="58"/>
      <c r="AX54" s="59"/>
      <c r="AY54" s="3"/>
      <c r="AZ54" s="3" t="s">
        <v>53</v>
      </c>
      <c r="BD54" s="98">
        <f>BD53/10000</f>
        <v>0.48487576019648476</v>
      </c>
    </row>
    <row r="55" spans="1:63" x14ac:dyDescent="0.25">
      <c r="A55" s="223" t="s">
        <v>14</v>
      </c>
      <c r="AS55" s="62">
        <v>0</v>
      </c>
      <c r="AT55" s="50">
        <v>5</v>
      </c>
      <c r="AU55" s="50">
        <v>6.5</v>
      </c>
      <c r="AV55" s="50">
        <v>8.5</v>
      </c>
      <c r="AW55" s="50">
        <v>10</v>
      </c>
      <c r="AX55" s="51">
        <v>14</v>
      </c>
      <c r="AY55" s="3"/>
      <c r="AZ55" s="1" t="s">
        <v>56</v>
      </c>
      <c r="BA55" t="s">
        <v>57</v>
      </c>
      <c r="BC55">
        <f>CORREL(BD30:BD49,BE30:BE49)</f>
        <v>0.32445791400530155</v>
      </c>
    </row>
    <row r="56" spans="1:63" x14ac:dyDescent="0.25">
      <c r="A56" s="223"/>
      <c r="AS56" s="54">
        <v>2.4</v>
      </c>
      <c r="AT56" s="1">
        <v>0.4</v>
      </c>
      <c r="AU56" s="1">
        <v>0</v>
      </c>
      <c r="AV56" s="1">
        <v>0</v>
      </c>
      <c r="AW56" s="1">
        <v>0.3</v>
      </c>
      <c r="AX56" s="52">
        <v>2.4</v>
      </c>
      <c r="AY56" s="3"/>
      <c r="AZ56" s="3"/>
      <c r="BA56" t="s">
        <v>58</v>
      </c>
      <c r="BC56">
        <f>CORREL(BD30:BD49,BF30:BF49)</f>
        <v>0.68089932228208516</v>
      </c>
    </row>
    <row r="57" spans="1:63" ht="15.75" thickBot="1" x14ac:dyDescent="0.3">
      <c r="A57" s="223"/>
      <c r="AS57" s="57">
        <v>16.600000000000001</v>
      </c>
      <c r="AT57" s="58"/>
      <c r="AU57" s="58"/>
      <c r="AV57" s="58"/>
      <c r="AW57" s="58"/>
      <c r="AX57" s="59"/>
      <c r="AY57" s="3"/>
      <c r="AZ57" s="3"/>
    </row>
    <row r="58" spans="1:63" x14ac:dyDescent="0.25">
      <c r="A58" s="223" t="s">
        <v>43</v>
      </c>
      <c r="AS58" s="62">
        <v>0</v>
      </c>
      <c r="AT58" s="50">
        <v>2.9</v>
      </c>
      <c r="AU58" s="50">
        <v>3.5</v>
      </c>
      <c r="AV58" s="50">
        <v>6</v>
      </c>
      <c r="AW58" s="50">
        <v>7.2</v>
      </c>
      <c r="AX58" s="51">
        <v>9</v>
      </c>
      <c r="AY58" s="3"/>
      <c r="AZ58" s="3"/>
    </row>
    <row r="59" spans="1:63" x14ac:dyDescent="0.25">
      <c r="A59" s="223"/>
      <c r="AS59" s="54">
        <v>2.9</v>
      </c>
      <c r="AT59" s="1">
        <v>0.4</v>
      </c>
      <c r="AU59" s="1">
        <v>0</v>
      </c>
      <c r="AV59" s="1">
        <v>0</v>
      </c>
      <c r="AW59" s="1">
        <v>0.5</v>
      </c>
      <c r="AX59" s="52">
        <v>2.9</v>
      </c>
      <c r="AY59" s="3"/>
      <c r="AZ59" s="3"/>
    </row>
    <row r="60" spans="1:63" ht="15.75" thickBot="1" x14ac:dyDescent="0.3">
      <c r="A60" s="223"/>
      <c r="AS60" s="57">
        <v>34.200000000000003</v>
      </c>
      <c r="AT60" s="58"/>
      <c r="AU60" s="58"/>
      <c r="AV60" s="58"/>
      <c r="AW60" s="58"/>
      <c r="AX60" s="59"/>
      <c r="AY60" s="3"/>
      <c r="AZ60" s="3"/>
    </row>
    <row r="61" spans="1:63" x14ac:dyDescent="0.25">
      <c r="A61" s="223" t="s">
        <v>9</v>
      </c>
      <c r="AS61" s="62">
        <v>0</v>
      </c>
      <c r="AT61" s="50">
        <v>5</v>
      </c>
      <c r="AU61" s="50">
        <v>5.8</v>
      </c>
      <c r="AV61" s="50">
        <v>7.5</v>
      </c>
      <c r="AW61" s="50">
        <v>8.1999999999999993</v>
      </c>
      <c r="AX61" s="51">
        <v>12.4</v>
      </c>
      <c r="AY61" s="3"/>
      <c r="AZ61" s="3"/>
    </row>
    <row r="62" spans="1:63" x14ac:dyDescent="0.25">
      <c r="A62" s="223"/>
      <c r="AS62" s="54">
        <v>1.4</v>
      </c>
      <c r="AT62" s="1">
        <v>0.2</v>
      </c>
      <c r="AU62" s="1">
        <v>0</v>
      </c>
      <c r="AV62" s="1">
        <v>0</v>
      </c>
      <c r="AW62" s="1">
        <v>0.3</v>
      </c>
      <c r="AX62" s="52">
        <v>1.4</v>
      </c>
      <c r="AY62" s="3"/>
      <c r="AZ62" s="3"/>
    </row>
    <row r="63" spans="1:63" ht="15.75" thickBot="1" x14ac:dyDescent="0.3">
      <c r="A63" s="223"/>
      <c r="AS63" s="57">
        <v>22.6</v>
      </c>
      <c r="AT63" s="58"/>
      <c r="AU63" s="58"/>
      <c r="AV63" s="58"/>
      <c r="AW63" s="58"/>
      <c r="AX63" s="59"/>
      <c r="AY63" s="3"/>
      <c r="AZ63" s="3"/>
    </row>
    <row r="64" spans="1:63" x14ac:dyDescent="0.25">
      <c r="A64" s="223"/>
    </row>
    <row r="65" spans="1:60" x14ac:dyDescent="0.25">
      <c r="A65" s="223"/>
    </row>
    <row r="66" spans="1:60" x14ac:dyDescent="0.25">
      <c r="A66" s="223"/>
      <c r="AM66">
        <f>(AM4*AN5)-(AM5*AN4)</f>
        <v>-0.27999999999999997</v>
      </c>
      <c r="AN66">
        <f t="shared" ref="AN66:AQ66" si="21">(AN4*AO5)-(AN5*AO4)</f>
        <v>-0.15000000000000002</v>
      </c>
      <c r="AO66">
        <f t="shared" si="21"/>
        <v>0</v>
      </c>
      <c r="AP66">
        <f t="shared" si="21"/>
        <v>0.24</v>
      </c>
      <c r="AQ66">
        <f t="shared" si="21"/>
        <v>7.8199999999999994</v>
      </c>
      <c r="AR66">
        <f>(AR4*AM5)-(AR5*AM4)</f>
        <v>8.3999999999999986</v>
      </c>
      <c r="AS66">
        <f>(AS4*AT5)-(AS5*AT4)</f>
        <v>-0.27999999999999997</v>
      </c>
      <c r="AT66">
        <f>(AT4*AU5)-(AT5*AU4)</f>
        <v>-0.15000000000000002</v>
      </c>
      <c r="AU66">
        <f>(AU4*AV5)-(AU5*AV4)</f>
        <v>0</v>
      </c>
      <c r="AV66">
        <f>(AV4*AW5)-(AV5*AW4)</f>
        <v>0.24</v>
      </c>
      <c r="AW66">
        <f>(AW4*AX5)-(AW5*AX4)</f>
        <v>7.8199999999999994</v>
      </c>
      <c r="AX66">
        <f>(AX4*AS5)-(AX5*AS4)</f>
        <v>8.3999999999999986</v>
      </c>
      <c r="AZ66" s="107"/>
      <c r="BA66" s="107"/>
      <c r="BC66" s="107"/>
      <c r="BD66" s="107"/>
      <c r="BE66" s="107"/>
      <c r="BF66" s="107"/>
      <c r="BG66">
        <f t="shared" ref="BG66:BG75" si="22">ABS(SUM(AM66:AR66))/2</f>
        <v>8.0149999999999988</v>
      </c>
      <c r="BH66">
        <f t="shared" ref="BH66:BH83" si="23">ABS(SUM(AS66:AX66))/2</f>
        <v>8.0149999999999988</v>
      </c>
    </row>
    <row r="67" spans="1:60" ht="17.25" customHeight="1" x14ac:dyDescent="0.25">
      <c r="A67" s="223"/>
      <c r="AM67">
        <f>(AM7*AN8)-(AM8*AN7)</f>
        <v>-0.78</v>
      </c>
      <c r="AN67">
        <f>(AN7*AO8)-(AN8*AO7)</f>
        <v>-5.6399999999999988</v>
      </c>
      <c r="AO67">
        <f>(AO7*AP8)-(AO8*AP7)</f>
        <v>0</v>
      </c>
      <c r="AP67">
        <f>(AP7*AQ8)-(AP8*AQ7)</f>
        <v>10.45</v>
      </c>
      <c r="AQ67">
        <f>(AQ7*AR8)-(AQ8*AR7)</f>
        <v>14.830000000000002</v>
      </c>
      <c r="AR67">
        <f>(AR7*AM8)-(AR8*AM7)</f>
        <v>31.2</v>
      </c>
      <c r="AS67">
        <f>(AS7*AT8)-(AS8*AT7)</f>
        <v>-0.78</v>
      </c>
      <c r="AT67">
        <f>(AT7*AU8)-(AT8*AU7)</f>
        <v>-5.6399999999999988</v>
      </c>
      <c r="AU67">
        <f>(AU7*AV8)-(AU8*AV7)</f>
        <v>0</v>
      </c>
      <c r="AV67">
        <f>(AV7*AW8)-(AV8*AW7)</f>
        <v>10.45</v>
      </c>
      <c r="AW67">
        <f>(AW7*AX8)-(AW8*AX7)</f>
        <v>14.830000000000002</v>
      </c>
      <c r="AX67">
        <f>(AX7*AS8)-(AX8*AS7)</f>
        <v>31.2</v>
      </c>
      <c r="AZ67" s="107"/>
      <c r="BA67" s="107"/>
      <c r="BC67" s="107"/>
      <c r="BD67" s="107"/>
      <c r="BE67" s="107"/>
      <c r="BF67" s="107"/>
      <c r="BG67">
        <f t="shared" si="22"/>
        <v>25.03</v>
      </c>
      <c r="BH67">
        <f t="shared" si="23"/>
        <v>25.03</v>
      </c>
    </row>
    <row r="68" spans="1:60" x14ac:dyDescent="0.25">
      <c r="A68" s="223"/>
      <c r="AG68">
        <f>(AG10*AH11)-(AG11*AH10)</f>
        <v>-0.36000000000000004</v>
      </c>
      <c r="AH68">
        <f>(AH10*AI11)-(AH11*AI10)</f>
        <v>-3</v>
      </c>
      <c r="AI68">
        <f>(AI10*AJ11)-(AI11*AJ10)</f>
        <v>0</v>
      </c>
      <c r="AJ68">
        <f>(AJ10*AK11)-(AJ11*AK10)</f>
        <v>5.04</v>
      </c>
      <c r="AK68">
        <f>(AK10*AL11)-(AK11*AL10)</f>
        <v>13.72</v>
      </c>
      <c r="AL68">
        <f>(AL10*AG11)-(AL11*AG10)</f>
        <v>23.040000000000003</v>
      </c>
      <c r="AM68">
        <f>(AM10*AN11)-(AM11*AN10)</f>
        <v>-0.86</v>
      </c>
      <c r="AN68">
        <f>(AN10*AO11)-(AN11*AO10)</f>
        <v>-9.8999999999999986</v>
      </c>
      <c r="AO68">
        <f>(AO10*AP11)-(AO11*AP10)</f>
        <v>0</v>
      </c>
      <c r="AP68">
        <f>(AP10*AQ11)-(AP11*AQ10)</f>
        <v>17.049999999999997</v>
      </c>
      <c r="AQ68">
        <f>(AQ10*AR11)-(AQ11*AR10)</f>
        <v>9.8699999999999974</v>
      </c>
      <c r="AR68">
        <f>(AR10*AM11)-(AR11*AM10)</f>
        <v>39.99</v>
      </c>
      <c r="AS68">
        <f>(AS10*AT11)-(AS11*AT10)</f>
        <v>-0.86</v>
      </c>
      <c r="AT68">
        <f>(AT10*AU11)-(AT11*AU10)</f>
        <v>-9.8999999999999986</v>
      </c>
      <c r="AU68">
        <f>(AU10*AV11)-(AU11*AV10)</f>
        <v>0</v>
      </c>
      <c r="AV68">
        <f>(AV10*AW11)-(AV11*AW10)</f>
        <v>17.049999999999997</v>
      </c>
      <c r="AW68">
        <f>(AW10*AX11)-(AW11*AX10)</f>
        <v>9.8699999999999974</v>
      </c>
      <c r="AX68">
        <f>(AX10*AS11)-(AX11*AS10)</f>
        <v>39.99</v>
      </c>
      <c r="AZ68" s="107"/>
      <c r="BA68" s="107"/>
      <c r="BC68" s="107"/>
      <c r="BD68" s="107"/>
      <c r="BE68" s="107"/>
      <c r="BF68">
        <f t="shared" ref="BF68:BF75" si="24">ABS(SUM(AG68:AL68))/2</f>
        <v>19.220000000000002</v>
      </c>
      <c r="BG68">
        <f t="shared" si="22"/>
        <v>28.074999999999999</v>
      </c>
      <c r="BH68">
        <f t="shared" si="23"/>
        <v>28.074999999999999</v>
      </c>
    </row>
    <row r="69" spans="1:60" ht="15" customHeight="1" x14ac:dyDescent="0.25">
      <c r="A69" s="223"/>
      <c r="AA69">
        <f>(AA13*AB14)-(AA14*AB13)</f>
        <v>-0.60000000000000009</v>
      </c>
      <c r="AB69">
        <f>(AB13*AC14)-(AB14*AC13)</f>
        <v>-1.2</v>
      </c>
      <c r="AC69">
        <f>(AC13*AD14)-(AC14*AD13)</f>
        <v>0</v>
      </c>
      <c r="AD69">
        <f>(AD13*AE14)-(AD14*AE13)</f>
        <v>0.96</v>
      </c>
      <c r="AE69">
        <f>(AE13*AF14)-(AE14*AF13)</f>
        <v>22.1</v>
      </c>
      <c r="AF69">
        <f>(AF13*AA14)-(AF14*AA13)</f>
        <v>24</v>
      </c>
      <c r="AG69">
        <f>(AG13*AH14)-(AG14*AH13)</f>
        <v>-0.60000000000000009</v>
      </c>
      <c r="AH69">
        <f>(AH13*AI14)-(AH14*AI13)</f>
        <v>-5.8500000000000005</v>
      </c>
      <c r="AI69">
        <f>(AI13*AJ14)-(AI14*AJ13)</f>
        <v>0</v>
      </c>
      <c r="AJ69">
        <f>(AJ13*AK14)-(AJ14*AK13)</f>
        <v>4.95</v>
      </c>
      <c r="AK69">
        <f>(AK13*AL14)-(AK14*AL13)</f>
        <v>20.700000000000003</v>
      </c>
      <c r="AL69">
        <f>(AL13*AG14)-(AL14*AG13)</f>
        <v>30</v>
      </c>
      <c r="AM69">
        <f>(AM13*AN14)-(AM14*AN13)</f>
        <v>-0.62000000000000011</v>
      </c>
      <c r="AN69">
        <f>(AN13*AO14)-(AN14*AO13)</f>
        <v>-4.7300000000000004</v>
      </c>
      <c r="AO69">
        <f>(AO13*AP14)-(AO14*AP13)</f>
        <v>0</v>
      </c>
      <c r="AP69">
        <f>(AP13*AQ14)-(AP14*AQ13)</f>
        <v>8.8500000000000014</v>
      </c>
      <c r="AQ69">
        <f>(AQ13*AR14)-(AQ14*AR13)</f>
        <v>15.07</v>
      </c>
      <c r="AR69">
        <f>(AR13*AM14)-(AR14*AM13)</f>
        <v>31</v>
      </c>
      <c r="AS69">
        <f>(AS13*AT14)-(AS14*AT13)</f>
        <v>-0.62000000000000011</v>
      </c>
      <c r="AT69">
        <f>(AT13*AU14)-(AT14*AU13)</f>
        <v>-4.7300000000000004</v>
      </c>
      <c r="AU69">
        <f>(AU13*AV14)-(AU14*AV13)</f>
        <v>0</v>
      </c>
      <c r="AV69">
        <f>(AV13*AW14)-(AV14*AW13)</f>
        <v>8.8500000000000014</v>
      </c>
      <c r="AW69">
        <f>(AW13*AX14)-(AW14*AX13)</f>
        <v>15.07</v>
      </c>
      <c r="AX69">
        <f>(AX13*AS14)-(AX14*AS13)</f>
        <v>31</v>
      </c>
      <c r="AZ69" s="107"/>
      <c r="BA69" s="107"/>
      <c r="BC69" s="107"/>
      <c r="BD69" s="107"/>
      <c r="BE69">
        <f t="shared" ref="BE69:BE75" si="25">ABS(SUM(AA69:AF69))/2</f>
        <v>22.630000000000003</v>
      </c>
      <c r="BF69">
        <f t="shared" si="24"/>
        <v>24.6</v>
      </c>
      <c r="BG69">
        <f t="shared" si="22"/>
        <v>24.785</v>
      </c>
      <c r="BH69">
        <f t="shared" si="23"/>
        <v>24.785</v>
      </c>
    </row>
    <row r="70" spans="1:60" x14ac:dyDescent="0.25">
      <c r="A70" s="223"/>
      <c r="C70">
        <f>(C16*D17)-(C17*D16)</f>
        <v>-2.4000000000000004</v>
      </c>
      <c r="D70">
        <f>(D16*E17)-(D17*E16)</f>
        <v>-2.1</v>
      </c>
      <c r="E70">
        <f>(E16*F17)-(E17*F16)</f>
        <v>0</v>
      </c>
      <c r="F70">
        <f>(F16*G17)-(F17*G16)</f>
        <v>2.7</v>
      </c>
      <c r="G70">
        <f>(G16*H17)-(G17*H16)</f>
        <v>2.0399999999999996</v>
      </c>
      <c r="H70">
        <f>(H16*C17)-(H17*C16)</f>
        <v>6.6000000000000005</v>
      </c>
      <c r="I70">
        <f>(I16*J17)-(I17*J16)</f>
        <v>-2.4000000000000004</v>
      </c>
      <c r="J70">
        <f>(J16*K17)-(J17*K16)</f>
        <v>-3.1500000000000004</v>
      </c>
      <c r="K70">
        <f>(K16*L17)-(K17*L16)</f>
        <v>0</v>
      </c>
      <c r="L70">
        <f>(L16*M17)-(L17*M16)</f>
        <v>3.6</v>
      </c>
      <c r="M70">
        <f>(M16*N17)-(M17*N16)</f>
        <v>1.6800000000000006</v>
      </c>
      <c r="N70">
        <f>(N16*I17)-(N17*I16)</f>
        <v>10.199999999999999</v>
      </c>
      <c r="O70">
        <f>(O16*P17)-(O17*P16)</f>
        <v>-4.620000000000001</v>
      </c>
      <c r="P70">
        <f>(P16*Q17)-(P17*Q16)</f>
        <v>-3.12</v>
      </c>
      <c r="Q70">
        <f>(Q16*R17)-(Q17*R16)</f>
        <v>0</v>
      </c>
      <c r="R70">
        <f>(R16*S17)-(R17*S16)</f>
        <v>4.68</v>
      </c>
      <c r="S70">
        <f>(S16*T17)-(S17*T16)</f>
        <v>13.08</v>
      </c>
      <c r="T70">
        <f>(T16*O17)-(T17*O16)</f>
        <v>24.78</v>
      </c>
      <c r="U70">
        <f>(U16*V17)-(U17*V16)</f>
        <v>-5.7200000000000006</v>
      </c>
      <c r="V70">
        <f>(V16*W17)-(V17*W16)</f>
        <v>-3.5999999999999996</v>
      </c>
      <c r="W70">
        <f>(W16*X17)-(W17*X16)</f>
        <v>0</v>
      </c>
      <c r="X70">
        <f>(X16*Y17)-(X17*Y16)</f>
        <v>4.4000000000000004</v>
      </c>
      <c r="Y70">
        <f>(Y16*Z17)-(Y17*Z16)</f>
        <v>17.84</v>
      </c>
      <c r="Z70">
        <f>(Z16*U17)-(Z17*U16)</f>
        <v>29.92</v>
      </c>
      <c r="AA70">
        <f>(AA16*AB17)-(AA17*AB16)</f>
        <v>-9.1999999999999993</v>
      </c>
      <c r="AB70">
        <f>(AB16*AC17)-(AB17*AC16)</f>
        <v>-6.72</v>
      </c>
      <c r="AC70">
        <f>(AC16*AD17)-(AC17*AD16)</f>
        <v>0</v>
      </c>
      <c r="AD70">
        <f>(AD16*AE17)-(AD17*AE16)</f>
        <v>6.4</v>
      </c>
      <c r="AE70">
        <f>(AE16*AF17)-(AE17*AF16)</f>
        <v>26.099999999999998</v>
      </c>
      <c r="AF70">
        <f>(AF16*AA17)-(AF17*AA16)</f>
        <v>49.219999999999992</v>
      </c>
      <c r="AG70">
        <f>(AG16*AH17)-(AG17*AH16)</f>
        <v>-8.8000000000000007</v>
      </c>
      <c r="AH70">
        <f>(AH16*AI17)-(AH17*AI16)</f>
        <v>-6.1199999999999992</v>
      </c>
      <c r="AI70">
        <f>(AI16*AJ17)-(AI17*AJ16)</f>
        <v>0</v>
      </c>
      <c r="AJ70">
        <f>(AJ16*AK17)-(AJ17*AK16)</f>
        <v>6.5659999999999998</v>
      </c>
      <c r="AK70">
        <f>(AK16*AL17)-(AK17*AL16)</f>
        <v>23.538000000000004</v>
      </c>
      <c r="AL70">
        <f>(AL16*AG17)-(AL17*AG16)</f>
        <v>52.360000000000007</v>
      </c>
      <c r="AM70">
        <f>(AM16*AN17)-(AM17*AN16)</f>
        <v>-8.8000000000000007</v>
      </c>
      <c r="AN70">
        <f>(AN16*AO17)-(AN17*AO16)</f>
        <v>-13.8</v>
      </c>
      <c r="AO70">
        <f>(AO16*AP17)-(AO17*AP16)</f>
        <v>0</v>
      </c>
      <c r="AP70">
        <f>(AP16*AQ17)-(AP17*AQ16)</f>
        <v>19.760000000000002</v>
      </c>
      <c r="AQ70">
        <f>(AQ16*AR17)-(AQ17*AR16)</f>
        <v>16.799999999999997</v>
      </c>
      <c r="AR70">
        <f>(AR16*AM17)-(AR17*AM16)</f>
        <v>57.2</v>
      </c>
      <c r="AS70">
        <f>(AS16*AT17)-(AS17*AT16)</f>
        <v>-8.8000000000000007</v>
      </c>
      <c r="AT70">
        <f>(AT16*AU17)-(AT17*AU16)</f>
        <v>-13.8</v>
      </c>
      <c r="AU70">
        <f>(AU16*AV17)-(AU17*AV16)</f>
        <v>0</v>
      </c>
      <c r="AV70">
        <f>(AV16*AW17)-(AV17*AW16)</f>
        <v>19.760000000000002</v>
      </c>
      <c r="AW70">
        <f>(AW16*AX17)-(AW17*AX16)</f>
        <v>16.799999999999997</v>
      </c>
      <c r="AX70">
        <f>(AX16*AS17)-(AX17*AS16)</f>
        <v>57.2</v>
      </c>
      <c r="AZ70">
        <f t="shared" ref="AZ70:AZ75" si="26">ABS(SUM(C70:H70))/2</f>
        <v>3.42</v>
      </c>
      <c r="BA70">
        <f t="shared" ref="BA70:BA75" si="27">ABS(SUM(I70:N70))/2</f>
        <v>4.9649999999999999</v>
      </c>
      <c r="BC70">
        <f t="shared" ref="BC70:BC75" si="28">ABS(SUM(O70:T70))/2</f>
        <v>17.399999999999999</v>
      </c>
      <c r="BD70">
        <f t="shared" ref="BD70:BD75" si="29">ABS(SUM(U70:Z70))/2</f>
        <v>21.42</v>
      </c>
      <c r="BE70">
        <f t="shared" si="25"/>
        <v>32.899999999999991</v>
      </c>
      <c r="BF70">
        <f t="shared" si="24"/>
        <v>33.772000000000006</v>
      </c>
      <c r="BG70">
        <f t="shared" si="22"/>
        <v>35.58</v>
      </c>
      <c r="BH70">
        <f t="shared" si="23"/>
        <v>35.58</v>
      </c>
    </row>
    <row r="71" spans="1:60" x14ac:dyDescent="0.25">
      <c r="A71" s="163"/>
      <c r="C71">
        <f>(C19*D20)-(C20*D19)</f>
        <v>-3.6</v>
      </c>
      <c r="D71">
        <f t="shared" ref="D71:AW71" si="30">(D19*E20)-(D20*E19)</f>
        <v>-3.6</v>
      </c>
      <c r="E71">
        <f t="shared" si="30"/>
        <v>0</v>
      </c>
      <c r="F71">
        <f t="shared" si="30"/>
        <v>8.3999999999999986</v>
      </c>
      <c r="G71">
        <f t="shared" si="30"/>
        <v>4.6499999999999968</v>
      </c>
      <c r="H71">
        <f>(H19*C20)-(H20*C19)</f>
        <v>22.05</v>
      </c>
      <c r="I71">
        <f t="shared" ref="I71" si="31">(I19*J20)-(I20*J19)</f>
        <v>-3.6</v>
      </c>
      <c r="J71">
        <f t="shared" ref="J71" si="32">(J19*K20)-(J20*K19)</f>
        <v>-3.6</v>
      </c>
      <c r="K71">
        <f t="shared" ref="K71" si="33">(K19*L20)-(K20*L19)</f>
        <v>0</v>
      </c>
      <c r="L71">
        <f t="shared" ref="L71" si="34">(L19*M20)-(L20*M19)</f>
        <v>8.3999999999999986</v>
      </c>
      <c r="M71">
        <f t="shared" ref="M71" si="35">(M19*N20)-(M20*N19)</f>
        <v>4.6499999999999968</v>
      </c>
      <c r="N71">
        <f>(N19*I20)-(N20*I19)</f>
        <v>22.05</v>
      </c>
      <c r="O71">
        <f t="shared" si="30"/>
        <v>-7.1999999999999993</v>
      </c>
      <c r="P71">
        <f t="shared" si="30"/>
        <v>-6</v>
      </c>
      <c r="Q71">
        <f t="shared" si="30"/>
        <v>0</v>
      </c>
      <c r="R71">
        <f t="shared" si="30"/>
        <v>11.479999999999999</v>
      </c>
      <c r="S71">
        <f t="shared" si="30"/>
        <v>4.84</v>
      </c>
      <c r="T71">
        <f>(T19*O20)-(T20*O19)</f>
        <v>31.2</v>
      </c>
      <c r="U71">
        <f t="shared" si="30"/>
        <v>-6.24</v>
      </c>
      <c r="V71">
        <f t="shared" si="30"/>
        <v>-7.1999999999999993</v>
      </c>
      <c r="W71">
        <f t="shared" si="30"/>
        <v>0</v>
      </c>
      <c r="X71">
        <f t="shared" si="30"/>
        <v>12.299999999999999</v>
      </c>
      <c r="Y71">
        <f t="shared" si="30"/>
        <v>5.2799999999999976</v>
      </c>
      <c r="Z71">
        <f>(Z19*U20)-(Z20*U19)</f>
        <v>34.56</v>
      </c>
      <c r="AA71">
        <f t="shared" si="30"/>
        <v>-9.5</v>
      </c>
      <c r="AB71">
        <f t="shared" si="30"/>
        <v>-12</v>
      </c>
      <c r="AC71">
        <f t="shared" si="30"/>
        <v>0</v>
      </c>
      <c r="AD71">
        <f t="shared" si="30"/>
        <v>16.64</v>
      </c>
      <c r="AE71">
        <f t="shared" si="30"/>
        <v>7.2799999999999976</v>
      </c>
      <c r="AF71">
        <f>(AF19*AA20)-(AF20*AA19)</f>
        <v>61.000000000000007</v>
      </c>
      <c r="AG71">
        <f t="shared" si="30"/>
        <v>-10</v>
      </c>
      <c r="AH71">
        <f t="shared" si="30"/>
        <v>-14.080000000000002</v>
      </c>
      <c r="AI71">
        <f t="shared" si="30"/>
        <v>0</v>
      </c>
      <c r="AJ71">
        <f t="shared" si="30"/>
        <v>19.759999999999998</v>
      </c>
      <c r="AK71">
        <f t="shared" si="30"/>
        <v>7.4399999999999977</v>
      </c>
      <c r="AL71">
        <f>(AL19*AG20)-(AL20*AG19)</f>
        <v>65.5</v>
      </c>
      <c r="AM71">
        <f t="shared" ref="AM71" si="36">(AM19*AN20)-(AM20*AN19)</f>
        <v>-9.8000000000000007</v>
      </c>
      <c r="AN71">
        <f t="shared" ref="AN71" si="37">(AN19*AO20)-(AN20*AO19)</f>
        <v>-14.950000000000001</v>
      </c>
      <c r="AO71">
        <f t="shared" ref="AO71" si="38">(AO19*AP20)-(AO20*AP19)</f>
        <v>0</v>
      </c>
      <c r="AP71">
        <f t="shared" ref="AP71" si="39">(AP19*AQ20)-(AP20*AQ19)</f>
        <v>17.71</v>
      </c>
      <c r="AQ71">
        <f t="shared" ref="AQ71" si="40">(AQ19*AR20)-(AQ20*AR19)</f>
        <v>23.080000000000002</v>
      </c>
      <c r="AR71">
        <f>(AR19*AM20)-(AR20*AM19)</f>
        <v>65.660000000000011</v>
      </c>
      <c r="AS71">
        <f t="shared" si="30"/>
        <v>-9.8000000000000007</v>
      </c>
      <c r="AT71">
        <f t="shared" si="30"/>
        <v>-14.950000000000001</v>
      </c>
      <c r="AU71">
        <f t="shared" si="30"/>
        <v>0</v>
      </c>
      <c r="AV71">
        <f t="shared" si="30"/>
        <v>17.71</v>
      </c>
      <c r="AW71">
        <f t="shared" si="30"/>
        <v>23.080000000000002</v>
      </c>
      <c r="AX71">
        <f>(AX19*AS20)-(AX20*AS19)</f>
        <v>65.660000000000011</v>
      </c>
      <c r="AZ71">
        <f t="shared" si="26"/>
        <v>13.949999999999998</v>
      </c>
      <c r="BA71">
        <f t="shared" si="27"/>
        <v>13.949999999999998</v>
      </c>
      <c r="BC71">
        <f t="shared" si="28"/>
        <v>17.16</v>
      </c>
      <c r="BD71">
        <f t="shared" si="29"/>
        <v>19.350000000000001</v>
      </c>
      <c r="BE71">
        <f t="shared" si="25"/>
        <v>31.71</v>
      </c>
      <c r="BF71">
        <f t="shared" si="24"/>
        <v>34.309999999999995</v>
      </c>
      <c r="BG71">
        <f t="shared" si="22"/>
        <v>40.850000000000009</v>
      </c>
      <c r="BH71">
        <f t="shared" si="23"/>
        <v>40.850000000000009</v>
      </c>
    </row>
    <row r="72" spans="1:60" x14ac:dyDescent="0.25">
      <c r="A72" s="163"/>
      <c r="C72">
        <f>(C22*D23)-(C23*D22)</f>
        <v>-4</v>
      </c>
      <c r="D72">
        <f t="shared" ref="D72:AW72" si="41">(D22*E23)-(D23*E22)</f>
        <v>-3.84</v>
      </c>
      <c r="E72">
        <f t="shared" si="41"/>
        <v>0</v>
      </c>
      <c r="F72">
        <f t="shared" si="41"/>
        <v>7.1999999999999993</v>
      </c>
      <c r="G72">
        <f t="shared" si="41"/>
        <v>7.3999999999999968</v>
      </c>
      <c r="H72">
        <f>(H22*C23)-(H23*C22)</f>
        <v>23.500000000000007</v>
      </c>
      <c r="I72">
        <f t="shared" ref="I72" si="42">(I22*J23)-(I23*J22)</f>
        <v>-4</v>
      </c>
      <c r="J72">
        <f t="shared" ref="J72" si="43">(J22*K23)-(J23*K22)</f>
        <v>-3.84</v>
      </c>
      <c r="K72">
        <f t="shared" ref="K72" si="44">(K22*L23)-(K23*L22)</f>
        <v>0</v>
      </c>
      <c r="L72">
        <f t="shared" ref="L72" si="45">(L22*M23)-(L23*M22)</f>
        <v>7.1999999999999993</v>
      </c>
      <c r="M72">
        <f t="shared" ref="M72" si="46">(M22*N23)-(M23*N22)</f>
        <v>7.3999999999999968</v>
      </c>
      <c r="N72">
        <f>(N22*I23)-(N23*I22)</f>
        <v>23.500000000000007</v>
      </c>
      <c r="O72">
        <f t="shared" si="41"/>
        <v>-10</v>
      </c>
      <c r="P72">
        <f t="shared" si="41"/>
        <v>-7.1999999999999993</v>
      </c>
      <c r="Q72">
        <f t="shared" si="41"/>
        <v>0</v>
      </c>
      <c r="R72">
        <f t="shared" si="41"/>
        <v>11.76</v>
      </c>
      <c r="S72">
        <f t="shared" si="41"/>
        <v>7.7199999999999989</v>
      </c>
      <c r="T72">
        <f>(T22*O23)-(T23*O22)</f>
        <v>31.750000000000004</v>
      </c>
      <c r="U72">
        <f t="shared" si="41"/>
        <v>-12</v>
      </c>
      <c r="V72">
        <f t="shared" si="41"/>
        <v>-7.9200000000000008</v>
      </c>
      <c r="W72">
        <f t="shared" si="41"/>
        <v>0</v>
      </c>
      <c r="X72">
        <f t="shared" si="41"/>
        <v>11.52</v>
      </c>
      <c r="Y72">
        <f t="shared" si="41"/>
        <v>19.440000000000001</v>
      </c>
      <c r="Z72">
        <f>(Z22*U23)-(Z23*U22)</f>
        <v>44.400000000000006</v>
      </c>
      <c r="AA72">
        <f t="shared" si="41"/>
        <v>-12</v>
      </c>
      <c r="AB72">
        <f t="shared" si="41"/>
        <v>-11.880000000000003</v>
      </c>
      <c r="AC72">
        <f t="shared" si="41"/>
        <v>0</v>
      </c>
      <c r="AD72">
        <f t="shared" si="41"/>
        <v>15.839999999999998</v>
      </c>
      <c r="AE72">
        <f t="shared" si="41"/>
        <v>16.8</v>
      </c>
      <c r="AF72">
        <f>(AF22*AA23)-(AF23*AA22)</f>
        <v>70.5</v>
      </c>
      <c r="AG72">
        <f t="shared" si="41"/>
        <v>-13.799999999999999</v>
      </c>
      <c r="AH72">
        <f t="shared" si="41"/>
        <v>-13.44</v>
      </c>
      <c r="AI72">
        <f t="shared" si="41"/>
        <v>0</v>
      </c>
      <c r="AJ72">
        <f t="shared" si="41"/>
        <v>19.04</v>
      </c>
      <c r="AK72">
        <f t="shared" si="41"/>
        <v>13.420000000000002</v>
      </c>
      <c r="AL72">
        <f>(AL22*AG23)-(AL23*AG22)</f>
        <v>74.100000000000009</v>
      </c>
      <c r="AM72">
        <f t="shared" ref="AM72" si="47">(AM22*AN23)-(AM23*AN22)</f>
        <v>-10.620000000000001</v>
      </c>
      <c r="AN72">
        <f t="shared" ref="AN72" si="48">(AN22*AO23)-(AN23*AO22)</f>
        <v>-18.000000000000004</v>
      </c>
      <c r="AO72">
        <f t="shared" ref="AO72" si="49">(AO22*AP23)-(AO23*AP22)</f>
        <v>0</v>
      </c>
      <c r="AP72">
        <f t="shared" ref="AP72" si="50">(AP22*AQ23)-(AP23*AQ22)</f>
        <v>23.76</v>
      </c>
      <c r="AQ72">
        <f t="shared" ref="AQ72" si="51">(AQ22*AR23)-(AQ23*AR22)</f>
        <v>17.729999999999997</v>
      </c>
      <c r="AR72">
        <f>(AR22*AM23)-(AR23*AM22)</f>
        <v>79.06</v>
      </c>
      <c r="AS72">
        <f t="shared" si="41"/>
        <v>-10.620000000000001</v>
      </c>
      <c r="AT72">
        <f t="shared" si="41"/>
        <v>-18.000000000000004</v>
      </c>
      <c r="AU72">
        <f t="shared" si="41"/>
        <v>0</v>
      </c>
      <c r="AV72">
        <f t="shared" si="41"/>
        <v>23.76</v>
      </c>
      <c r="AW72">
        <f t="shared" si="41"/>
        <v>17.729999999999997</v>
      </c>
      <c r="AX72">
        <f>(AX22*AS23)-(AX23*AS22)</f>
        <v>79.06</v>
      </c>
      <c r="AZ72">
        <f t="shared" si="26"/>
        <v>15.130000000000003</v>
      </c>
      <c r="BA72">
        <f t="shared" si="27"/>
        <v>15.130000000000003</v>
      </c>
      <c r="BC72">
        <f t="shared" si="28"/>
        <v>17.015000000000001</v>
      </c>
      <c r="BD72">
        <f t="shared" si="29"/>
        <v>27.720000000000002</v>
      </c>
      <c r="BE72">
        <f t="shared" si="25"/>
        <v>39.629999999999995</v>
      </c>
      <c r="BF72">
        <f t="shared" si="24"/>
        <v>39.660000000000004</v>
      </c>
      <c r="BG72">
        <f t="shared" si="22"/>
        <v>45.964999999999996</v>
      </c>
      <c r="BH72">
        <f t="shared" si="23"/>
        <v>45.964999999999996</v>
      </c>
    </row>
    <row r="73" spans="1:60" x14ac:dyDescent="0.25">
      <c r="C73">
        <f>(C25*D26)-(C26*D25)</f>
        <v>-15</v>
      </c>
      <c r="D73">
        <f t="shared" ref="D73:AW73" si="52">(D25*E26)-(D26*E25)</f>
        <v>-7.9799999999999995</v>
      </c>
      <c r="E73">
        <f t="shared" si="52"/>
        <v>0</v>
      </c>
      <c r="F73">
        <f t="shared" si="52"/>
        <v>15.36</v>
      </c>
      <c r="G73">
        <f t="shared" si="52"/>
        <v>2.0799999999999947</v>
      </c>
      <c r="H73">
        <f>(H25*C26)-(H26*C25)</f>
        <v>40.500000000000007</v>
      </c>
      <c r="I73">
        <f t="shared" ref="I73" si="53">(I25*J26)-(I26*J25)</f>
        <v>-15</v>
      </c>
      <c r="J73">
        <f t="shared" ref="J73" si="54">(J25*K26)-(J26*K25)</f>
        <v>-7.9799999999999995</v>
      </c>
      <c r="K73">
        <f t="shared" ref="K73" si="55">(K25*L26)-(K26*L25)</f>
        <v>0</v>
      </c>
      <c r="L73">
        <f t="shared" ref="L73" si="56">(L25*M26)-(L26*M25)</f>
        <v>15.36</v>
      </c>
      <c r="M73">
        <f t="shared" ref="M73" si="57">(M25*N26)-(M26*N25)</f>
        <v>2.0799999999999947</v>
      </c>
      <c r="N73">
        <f>(N25*I26)-(N26*I25)</f>
        <v>40.500000000000007</v>
      </c>
      <c r="O73">
        <f t="shared" si="52"/>
        <v>-15.36</v>
      </c>
      <c r="P73">
        <f t="shared" si="52"/>
        <v>-9.4600000000000009</v>
      </c>
      <c r="Q73">
        <f t="shared" si="52"/>
        <v>0</v>
      </c>
      <c r="R73">
        <f t="shared" si="52"/>
        <v>17.399999999999999</v>
      </c>
      <c r="S73">
        <f t="shared" si="52"/>
        <v>5.8499999999999979</v>
      </c>
      <c r="T73">
        <f>(T25*O26)-(T26*O25)</f>
        <v>48.24</v>
      </c>
      <c r="U73">
        <f t="shared" si="52"/>
        <v>-16.32</v>
      </c>
      <c r="V73">
        <f t="shared" si="52"/>
        <v>-8.6</v>
      </c>
      <c r="W73">
        <f t="shared" si="52"/>
        <v>0</v>
      </c>
      <c r="X73">
        <f t="shared" si="52"/>
        <v>17.399999999999999</v>
      </c>
      <c r="Y73">
        <f t="shared" si="52"/>
        <v>7.7999999999999972</v>
      </c>
      <c r="Z73">
        <f>(Z25*U26)-(Z26*U25)</f>
        <v>56.099999999999994</v>
      </c>
      <c r="AA73">
        <f t="shared" si="52"/>
        <v>-23.2</v>
      </c>
      <c r="AB73">
        <f t="shared" si="52"/>
        <v>-12.4</v>
      </c>
      <c r="AC73">
        <f t="shared" si="52"/>
        <v>0</v>
      </c>
      <c r="AD73">
        <f t="shared" si="52"/>
        <v>26.24</v>
      </c>
      <c r="AE73">
        <f t="shared" si="52"/>
        <v>9.8919999999999817</v>
      </c>
      <c r="AF73">
        <f>(AF25*AA26)-(AF26*AA25)</f>
        <v>84.042000000000016</v>
      </c>
      <c r="AG73">
        <f t="shared" si="52"/>
        <v>-17.100000000000001</v>
      </c>
      <c r="AH73">
        <f t="shared" si="52"/>
        <v>-9.4499999999999993</v>
      </c>
      <c r="AI73">
        <f t="shared" si="52"/>
        <v>0</v>
      </c>
      <c r="AJ73">
        <f t="shared" si="52"/>
        <v>22.410000000000004</v>
      </c>
      <c r="AK73">
        <f t="shared" si="52"/>
        <v>21.254999999999995</v>
      </c>
      <c r="AL73">
        <f>(AL25*AG26)-(AL26*AG25)</f>
        <v>87.495000000000005</v>
      </c>
      <c r="AM73">
        <f t="shared" ref="AM73" si="58">(AM25*AN26)-(AM26*AN25)</f>
        <v>-13.339999999999998</v>
      </c>
      <c r="AN73">
        <f t="shared" ref="AN73" si="59">(AN25*AO26)-(AN26*AO25)</f>
        <v>-8.7099999999999991</v>
      </c>
      <c r="AO73">
        <f t="shared" ref="AO73" si="60">(AO25*AP26)-(AO26*AP25)</f>
        <v>0</v>
      </c>
      <c r="AP73">
        <f t="shared" ref="AP73" si="61">(AP25*AQ26)-(AP26*AQ25)</f>
        <v>15.659999999999997</v>
      </c>
      <c r="AQ73">
        <f t="shared" ref="AQ73" si="62">(AQ25*AR26)-(AQ26*AR25)</f>
        <v>44.36</v>
      </c>
      <c r="AR73">
        <f>(AR25*AM26)-(AR26*AM25)</f>
        <v>96.28</v>
      </c>
      <c r="AS73">
        <f t="shared" si="52"/>
        <v>-13.339999999999998</v>
      </c>
      <c r="AT73">
        <f t="shared" si="52"/>
        <v>-8.7099999999999991</v>
      </c>
      <c r="AU73">
        <f t="shared" si="52"/>
        <v>0</v>
      </c>
      <c r="AV73">
        <f t="shared" si="52"/>
        <v>15.659999999999997</v>
      </c>
      <c r="AW73">
        <f t="shared" si="52"/>
        <v>44.36</v>
      </c>
      <c r="AX73">
        <f>(AX25*AS26)-(AX26*AS25)</f>
        <v>96.28</v>
      </c>
      <c r="AZ73">
        <f t="shared" si="26"/>
        <v>17.48</v>
      </c>
      <c r="BA73">
        <f t="shared" si="27"/>
        <v>17.48</v>
      </c>
      <c r="BC73">
        <f t="shared" si="28"/>
        <v>23.335000000000001</v>
      </c>
      <c r="BD73">
        <f t="shared" si="29"/>
        <v>28.189999999999994</v>
      </c>
      <c r="BE73">
        <f t="shared" si="25"/>
        <v>42.286999999999999</v>
      </c>
      <c r="BF73">
        <f t="shared" si="24"/>
        <v>52.305</v>
      </c>
      <c r="BG73">
        <f t="shared" si="22"/>
        <v>67.125</v>
      </c>
      <c r="BH73">
        <f t="shared" si="23"/>
        <v>67.125</v>
      </c>
    </row>
    <row r="74" spans="1:60" x14ac:dyDescent="0.25">
      <c r="C74">
        <f>(C28*D29)-(C29*D28)</f>
        <v>-18</v>
      </c>
      <c r="D74">
        <f t="shared" ref="D74:AW74" si="63">(D28*E29)-(D29*E28)</f>
        <v>-19.779999999999998</v>
      </c>
      <c r="E74">
        <f t="shared" si="63"/>
        <v>0</v>
      </c>
      <c r="F74">
        <f t="shared" si="63"/>
        <v>19.599999999999998</v>
      </c>
      <c r="G74">
        <f t="shared" si="63"/>
        <v>6.9499999999999957</v>
      </c>
      <c r="H74">
        <f>(H28*C29)-(H29*C28)</f>
        <v>57.000000000000014</v>
      </c>
      <c r="I74">
        <f t="shared" ref="I74" si="64">(I28*J29)-(I29*J28)</f>
        <v>-18</v>
      </c>
      <c r="J74">
        <f t="shared" ref="J74" si="65">(J28*K29)-(J29*K28)</f>
        <v>-19.779999999999998</v>
      </c>
      <c r="K74">
        <f t="shared" ref="K74" si="66">(K28*L29)-(K29*L28)</f>
        <v>0</v>
      </c>
      <c r="L74">
        <f t="shared" ref="L74" si="67">(L28*M29)-(L29*M28)</f>
        <v>19.599999999999998</v>
      </c>
      <c r="M74">
        <f t="shared" ref="M74" si="68">(M28*N29)-(M29*N28)</f>
        <v>6.9499999999999957</v>
      </c>
      <c r="N74">
        <f>(N28*I29)-(N29*I28)</f>
        <v>57.000000000000014</v>
      </c>
      <c r="O74">
        <f t="shared" si="63"/>
        <v>-18</v>
      </c>
      <c r="P74">
        <f t="shared" si="63"/>
        <v>-12.899999999999999</v>
      </c>
      <c r="Q74">
        <f t="shared" si="63"/>
        <v>0</v>
      </c>
      <c r="R74">
        <f t="shared" si="63"/>
        <v>23.2</v>
      </c>
      <c r="S74">
        <f t="shared" si="63"/>
        <v>4.9999999999999929</v>
      </c>
      <c r="T74">
        <f>(T28*O29)-(T29*O28)</f>
        <v>60.000000000000014</v>
      </c>
      <c r="U74">
        <f t="shared" si="63"/>
        <v>-16.799999999999997</v>
      </c>
      <c r="V74">
        <f t="shared" si="63"/>
        <v>-11.959999999999999</v>
      </c>
      <c r="W74">
        <f t="shared" si="63"/>
        <v>0</v>
      </c>
      <c r="X74">
        <f t="shared" si="63"/>
        <v>22.57</v>
      </c>
      <c r="Y74">
        <f t="shared" si="63"/>
        <v>11.089999999999989</v>
      </c>
      <c r="Z74">
        <f>(Z28*U29)-(Z29*U28)</f>
        <v>61.800000000000004</v>
      </c>
      <c r="AA74">
        <f t="shared" si="63"/>
        <v>-18</v>
      </c>
      <c r="AB74">
        <f t="shared" si="63"/>
        <v>-16.12</v>
      </c>
      <c r="AC74">
        <f t="shared" si="63"/>
        <v>0</v>
      </c>
      <c r="AD74">
        <f t="shared" si="63"/>
        <v>29.929999999999996</v>
      </c>
      <c r="AE74">
        <f t="shared" si="63"/>
        <v>9.0489999999999995</v>
      </c>
      <c r="AF74">
        <f>(AF28*AA29)-(AF29*AA28)</f>
        <v>84.660000000000025</v>
      </c>
      <c r="AG74">
        <f t="shared" si="63"/>
        <v>-21.6</v>
      </c>
      <c r="AH74">
        <f t="shared" si="63"/>
        <v>-12.450000000000001</v>
      </c>
      <c r="AI74">
        <f t="shared" si="63"/>
        <v>0</v>
      </c>
      <c r="AJ74">
        <f t="shared" si="63"/>
        <v>22.08</v>
      </c>
      <c r="AK74">
        <f t="shared" si="63"/>
        <v>44.8</v>
      </c>
      <c r="AL74">
        <f>(AL28*AG29)-(AL29*AG28)</f>
        <v>96</v>
      </c>
      <c r="AM74">
        <f t="shared" ref="AM74" si="69">(AM28*AN29)-(AM29*AN28)</f>
        <v>-16.799999999999997</v>
      </c>
      <c r="AN74">
        <f t="shared" ref="AN74" si="70">(AN28*AO29)-(AN29*AO28)</f>
        <v>-12</v>
      </c>
      <c r="AO74">
        <f t="shared" ref="AO74" si="71">(AO28*AP29)-(AO29*AP28)</f>
        <v>0</v>
      </c>
      <c r="AP74">
        <f t="shared" ref="AP74" si="72">(AP28*AQ29)-(AP29*AQ28)</f>
        <v>18.600000000000001</v>
      </c>
      <c r="AQ74">
        <f t="shared" ref="AQ74" si="73">(AQ28*AR29)-(AQ29*AR28)</f>
        <v>59.399999999999991</v>
      </c>
      <c r="AR74">
        <f>(AR28*AM29)-(AR29*AM28)</f>
        <v>102.60000000000001</v>
      </c>
      <c r="AS74">
        <f t="shared" si="63"/>
        <v>-16.799999999999997</v>
      </c>
      <c r="AT74">
        <f t="shared" si="63"/>
        <v>-12</v>
      </c>
      <c r="AU74">
        <f t="shared" si="63"/>
        <v>0</v>
      </c>
      <c r="AV74">
        <f t="shared" si="63"/>
        <v>18.600000000000001</v>
      </c>
      <c r="AW74">
        <f t="shared" si="63"/>
        <v>59.399999999999991</v>
      </c>
      <c r="AX74">
        <f>(AX28*AS29)-(AX29*AS28)</f>
        <v>102.60000000000001</v>
      </c>
      <c r="AZ74">
        <f t="shared" si="26"/>
        <v>22.885000000000005</v>
      </c>
      <c r="BA74">
        <f t="shared" si="27"/>
        <v>22.885000000000005</v>
      </c>
      <c r="BC74">
        <f t="shared" si="28"/>
        <v>28.650000000000006</v>
      </c>
      <c r="BD74">
        <f t="shared" si="29"/>
        <v>33.349999999999994</v>
      </c>
      <c r="BE74">
        <f t="shared" si="25"/>
        <v>44.75950000000001</v>
      </c>
      <c r="BF74">
        <f t="shared" si="24"/>
        <v>64.414999999999992</v>
      </c>
      <c r="BG74">
        <f t="shared" si="22"/>
        <v>75.900000000000006</v>
      </c>
      <c r="BH74">
        <f t="shared" si="23"/>
        <v>75.900000000000006</v>
      </c>
    </row>
    <row r="75" spans="1:60" x14ac:dyDescent="0.25">
      <c r="C75">
        <f>(C31*D32)-(C32*D31)</f>
        <v>-47.519999999999996</v>
      </c>
      <c r="D75">
        <f t="shared" ref="D75:AW75" si="74">(D31*E32)-(D32*E31)</f>
        <v>-51.660000000000004</v>
      </c>
      <c r="E75">
        <f t="shared" si="74"/>
        <v>0</v>
      </c>
      <c r="F75">
        <f t="shared" si="74"/>
        <v>51.3</v>
      </c>
      <c r="G75">
        <f t="shared" si="74"/>
        <v>32.440000000000026</v>
      </c>
      <c r="H75">
        <f>(H31*C32)-(H32*C31)</f>
        <v>172.91999999999996</v>
      </c>
      <c r="I75">
        <f t="shared" ref="I75" si="75">(I31*J32)-(I32*J31)</f>
        <v>-47.519999999999996</v>
      </c>
      <c r="J75">
        <f t="shared" ref="J75" si="76">(J31*K32)-(J32*K31)</f>
        <v>-51.660000000000004</v>
      </c>
      <c r="K75">
        <f t="shared" ref="K75" si="77">(K31*L32)-(K32*L31)</f>
        <v>0</v>
      </c>
      <c r="L75">
        <f t="shared" ref="L75" si="78">(L31*M32)-(L32*M31)</f>
        <v>51.3</v>
      </c>
      <c r="M75">
        <f t="shared" ref="M75" si="79">(M31*N32)-(M32*N31)</f>
        <v>32.440000000000026</v>
      </c>
      <c r="N75">
        <f>(N31*I32)-(N32*I31)</f>
        <v>172.91999999999996</v>
      </c>
      <c r="O75">
        <f t="shared" si="74"/>
        <v>-47.519999999999996</v>
      </c>
      <c r="P75">
        <f t="shared" si="74"/>
        <v>-46.125</v>
      </c>
      <c r="Q75">
        <f t="shared" si="74"/>
        <v>0</v>
      </c>
      <c r="R75">
        <f t="shared" si="74"/>
        <v>55.754999999999995</v>
      </c>
      <c r="S75">
        <f t="shared" si="74"/>
        <v>25.445999999999998</v>
      </c>
      <c r="T75">
        <f>(T31*O32)-(T32*O31)</f>
        <v>170.28</v>
      </c>
      <c r="U75">
        <f t="shared" si="74"/>
        <v>-48.36</v>
      </c>
      <c r="V75">
        <f t="shared" si="74"/>
        <v>-51.800000000000004</v>
      </c>
      <c r="W75">
        <f t="shared" si="74"/>
        <v>0</v>
      </c>
      <c r="X75">
        <f t="shared" si="74"/>
        <v>57</v>
      </c>
      <c r="Y75">
        <f t="shared" si="74"/>
        <v>20.260000000000019</v>
      </c>
      <c r="Z75">
        <f>(Z31*U32)-(Z32*U31)</f>
        <v>169.26</v>
      </c>
      <c r="AA75">
        <f t="shared" si="74"/>
        <v>-52.8</v>
      </c>
      <c r="AB75">
        <f t="shared" si="74"/>
        <v>-50.75</v>
      </c>
      <c r="AC75">
        <f t="shared" si="74"/>
        <v>0</v>
      </c>
      <c r="AD75">
        <f t="shared" si="74"/>
        <v>53.04</v>
      </c>
      <c r="AE75">
        <f t="shared" si="74"/>
        <v>85.013999999999982</v>
      </c>
      <c r="AF75">
        <f>(AF31*AA32)-(AF32*AA31)</f>
        <v>206.51399999999998</v>
      </c>
      <c r="AG75">
        <f t="shared" si="74"/>
        <v>-39.599999999999994</v>
      </c>
      <c r="AH75">
        <f t="shared" si="74"/>
        <v>-71.759999999999991</v>
      </c>
      <c r="AI75">
        <f t="shared" si="74"/>
        <v>0</v>
      </c>
      <c r="AJ75">
        <f t="shared" si="74"/>
        <v>95.039999999999992</v>
      </c>
      <c r="AK75">
        <f t="shared" si="74"/>
        <v>33.810000000000031</v>
      </c>
      <c r="AL75">
        <f>(AL31*AG32)-(AL32*AG31)</f>
        <v>216.80999999999995</v>
      </c>
      <c r="AM75">
        <f t="shared" ref="AM75" si="80">(AM31*AN32)-(AM32*AN31)</f>
        <v>-19.799999999999997</v>
      </c>
      <c r="AN75">
        <f t="shared" ref="AN75" si="81">(AN31*AO32)-(AN32*AO31)</f>
        <v>-49.92</v>
      </c>
      <c r="AO75">
        <f t="shared" ref="AO75" si="82">(AO31*AP32)-(AO32*AP31)</f>
        <v>0</v>
      </c>
      <c r="AP75">
        <f t="shared" ref="AP75" si="83">(AP31*AQ32)-(AP32*AQ31)</f>
        <v>82.720000000000013</v>
      </c>
      <c r="AQ75">
        <f t="shared" ref="AQ75" si="84">(AQ31*AR32)-(AQ32*AR31)</f>
        <v>35.180000000000007</v>
      </c>
      <c r="AR75">
        <f>(AR31*AM32)-(AR32*AM31)</f>
        <v>223.07999999999996</v>
      </c>
      <c r="AS75">
        <f t="shared" si="74"/>
        <v>-19.799999999999997</v>
      </c>
      <c r="AT75">
        <f t="shared" si="74"/>
        <v>-49.92</v>
      </c>
      <c r="AU75">
        <f t="shared" si="74"/>
        <v>0</v>
      </c>
      <c r="AV75">
        <f t="shared" si="74"/>
        <v>82.720000000000013</v>
      </c>
      <c r="AW75">
        <f t="shared" si="74"/>
        <v>35.180000000000007</v>
      </c>
      <c r="AX75">
        <f>(AX31*AS32)-(AX32*AS31)</f>
        <v>223.07999999999996</v>
      </c>
      <c r="AZ75">
        <f t="shared" si="26"/>
        <v>78.739999999999981</v>
      </c>
      <c r="BA75">
        <f t="shared" si="27"/>
        <v>78.739999999999981</v>
      </c>
      <c r="BC75">
        <f t="shared" si="28"/>
        <v>78.918000000000006</v>
      </c>
      <c r="BD75">
        <f t="shared" si="29"/>
        <v>73.180000000000007</v>
      </c>
      <c r="BE75">
        <f t="shared" si="25"/>
        <v>120.50899999999999</v>
      </c>
      <c r="BF75">
        <f t="shared" si="24"/>
        <v>117.14999999999999</v>
      </c>
      <c r="BG75">
        <f t="shared" si="22"/>
        <v>135.63</v>
      </c>
      <c r="BH75">
        <f t="shared" si="23"/>
        <v>135.63</v>
      </c>
    </row>
    <row r="76" spans="1:60" x14ac:dyDescent="0.25">
      <c r="E76" t="s">
        <v>177</v>
      </c>
      <c r="F76">
        <f>AVERAGE(H16,H19,H22,H25,H28,H31)</f>
        <v>9.2666666666666675</v>
      </c>
      <c r="AS76">
        <f>(AS34*AT35)-(AS35*AT34)</f>
        <v>-42</v>
      </c>
      <c r="AT76">
        <f>(AT34*AU35)-(AT35*AU34)</f>
        <v>-20.28</v>
      </c>
      <c r="AU76">
        <f>(AU34*AV35)-(AU35*AV34)</f>
        <v>0</v>
      </c>
      <c r="AV76">
        <f>(AV34*AW35)-(AV35*AW34)</f>
        <v>35.340000000000003</v>
      </c>
      <c r="AW76">
        <f>(AW34*AX35)-(AW35*AX34)</f>
        <v>34.300000000000011</v>
      </c>
      <c r="AX76">
        <f>(AX34*AS35)-(AX35*AS34)</f>
        <v>147</v>
      </c>
      <c r="AZ76" s="107"/>
      <c r="BA76" s="107"/>
      <c r="BC76" s="107"/>
      <c r="BD76" s="107"/>
      <c r="BE76" s="107"/>
      <c r="BF76" s="107"/>
      <c r="BH76">
        <f t="shared" si="23"/>
        <v>77.180000000000007</v>
      </c>
    </row>
    <row r="77" spans="1:60" x14ac:dyDescent="0.25">
      <c r="B77" s="47">
        <v>41930</v>
      </c>
      <c r="E77" t="s">
        <v>178</v>
      </c>
      <c r="F77">
        <f>AVERAGE(H17,H20,H23,H26,H29,H32)</f>
        <v>5.0166666666666666</v>
      </c>
      <c r="AS77">
        <f>(AS37*AT38)-(AS38*AT37)</f>
        <v>-44</v>
      </c>
      <c r="AT77">
        <f>(AT37*AU38)-(AT38*AU37)</f>
        <v>-29.8</v>
      </c>
      <c r="AU77">
        <f>(AU37*AV38)-(AU38*AV37)</f>
        <v>0</v>
      </c>
      <c r="AV77">
        <f>(AV37*AW38)-(AV38*AW37)</f>
        <v>47.25</v>
      </c>
      <c r="AW77">
        <f>(AW37*AX38)-(AW38*AX37)</f>
        <v>47.859999999999985</v>
      </c>
      <c r="AX77">
        <f>(AX37*AS38)-(AX38*AS37)</f>
        <v>182.60000000000002</v>
      </c>
      <c r="AZ77" s="107"/>
      <c r="BA77" s="107"/>
      <c r="BC77" s="107"/>
      <c r="BD77" s="107"/>
      <c r="BE77" s="107"/>
      <c r="BF77" s="107"/>
      <c r="BH77">
        <f t="shared" si="23"/>
        <v>101.95500000000001</v>
      </c>
    </row>
    <row r="78" spans="1:60" x14ac:dyDescent="0.25">
      <c r="A78" t="s">
        <v>9</v>
      </c>
      <c r="B78" t="s">
        <v>10</v>
      </c>
      <c r="C78">
        <v>0</v>
      </c>
      <c r="H78">
        <v>13</v>
      </c>
      <c r="AS78">
        <f>(AS40*AT41)-(AS41*AT40)</f>
        <v>-1.8399999999999999</v>
      </c>
      <c r="AT78">
        <f>(AT40*AU41)-(AT41*AU40)</f>
        <v>-80</v>
      </c>
      <c r="AU78">
        <f>(AU40*AV41)-(AU41*AV40)</f>
        <v>0</v>
      </c>
      <c r="AV78">
        <f>(AV40*AW41)-(AV41*AW40)</f>
        <v>111.92999999999999</v>
      </c>
      <c r="AW78">
        <f>(AW40*AX41)-(AW41*AX40)</f>
        <v>22.809999999999974</v>
      </c>
      <c r="AX78">
        <f>(AX40*AS41)-(AX41*AS40)</f>
        <v>177.1</v>
      </c>
      <c r="AZ78" s="107"/>
      <c r="BA78" s="107"/>
      <c r="BC78" s="107"/>
      <c r="BD78" s="107"/>
      <c r="BE78" s="107"/>
      <c r="BF78" s="107"/>
      <c r="BH78">
        <f t="shared" si="23"/>
        <v>114.99999999999997</v>
      </c>
    </row>
    <row r="79" spans="1:60" x14ac:dyDescent="0.25">
      <c r="A79"/>
      <c r="B79" t="s">
        <v>11</v>
      </c>
      <c r="C79">
        <v>4.5999999999999996</v>
      </c>
      <c r="H79">
        <v>4.5999999999999996</v>
      </c>
      <c r="AS79">
        <f>(AS43*AT44)-(AS44*AT43)</f>
        <v>-8.16</v>
      </c>
      <c r="AT79">
        <f>(AT43*AU44)-(AT44*AU43)</f>
        <v>-29.400000000000002</v>
      </c>
      <c r="AU79">
        <f>(AU43*AV44)-(AU44*AV43)</f>
        <v>0</v>
      </c>
      <c r="AV79">
        <f>(AV43*AW44)-(AV44*AW43)</f>
        <v>54.18</v>
      </c>
      <c r="AW79">
        <f>(AW43*AX44)-(AW44*AX43)</f>
        <v>16.86999999999999</v>
      </c>
      <c r="AX79">
        <f>(AX43*AS44)-(AX44*AS43)</f>
        <v>117.3</v>
      </c>
      <c r="AZ79" s="107"/>
      <c r="BA79" s="107"/>
      <c r="BC79" s="107"/>
      <c r="BD79" s="107"/>
      <c r="BE79" s="107"/>
      <c r="BF79" s="107"/>
      <c r="BH79">
        <f t="shared" si="23"/>
        <v>75.394999999999996</v>
      </c>
    </row>
    <row r="80" spans="1:60" x14ac:dyDescent="0.25">
      <c r="A80"/>
      <c r="B80" t="s">
        <v>12</v>
      </c>
      <c r="C80">
        <v>2.1</v>
      </c>
      <c r="AS80">
        <f>(AS46*AT47)-(AS47*AT46)</f>
        <v>-72.599999999999994</v>
      </c>
      <c r="AT80">
        <f>(AT46*AU47)-(AT47*AU46)</f>
        <v>-24.480000000000004</v>
      </c>
      <c r="AU80">
        <f>(AU46*AV47)-(AU47*AV46)</f>
        <v>0</v>
      </c>
      <c r="AV80">
        <f>(AV46*AW47)-(AV47*AW46)</f>
        <v>36.960000000000008</v>
      </c>
      <c r="AW80">
        <f>(AW46*AX47)-(AW47*AX46)</f>
        <v>72.66</v>
      </c>
      <c r="AX80">
        <f>(AX46*AS47)-(AX47*AS46)</f>
        <v>207.23999999999998</v>
      </c>
      <c r="AZ80" s="107"/>
      <c r="BA80" s="107"/>
      <c r="BC80" s="107"/>
      <c r="BD80" s="107"/>
      <c r="BE80" s="107"/>
      <c r="BF80" s="107"/>
      <c r="BH80">
        <f t="shared" si="23"/>
        <v>109.88999999999999</v>
      </c>
    </row>
    <row r="81" spans="1:60" x14ac:dyDescent="0.25">
      <c r="A81" t="s">
        <v>13</v>
      </c>
      <c r="B81" t="s">
        <v>10</v>
      </c>
      <c r="C81">
        <v>0</v>
      </c>
      <c r="H81">
        <v>16</v>
      </c>
      <c r="AS81">
        <f>(AS49*AT50)-(AS50*AT49)</f>
        <v>-3</v>
      </c>
      <c r="AT81">
        <f>(AT49*AU50)-(AT50*AU49)</f>
        <v>-2.94</v>
      </c>
      <c r="AU81">
        <f>(AU49*AV50)-(AU50*AV49)</f>
        <v>0</v>
      </c>
      <c r="AV81">
        <f>(AV49*AW50)-(AV50*AW49)</f>
        <v>2.52</v>
      </c>
      <c r="AW81">
        <f>(AW49*AX50)-(AW50*AX49)</f>
        <v>20.699999999999996</v>
      </c>
      <c r="AX81">
        <f>(AX49*AS50)-(AX50*AS49)</f>
        <v>27</v>
      </c>
      <c r="AZ81" s="107"/>
      <c r="BA81" s="107"/>
      <c r="BC81" s="107"/>
      <c r="BD81" s="107"/>
      <c r="BE81" s="107"/>
      <c r="BF81" s="107"/>
      <c r="BH81">
        <f t="shared" si="23"/>
        <v>22.14</v>
      </c>
    </row>
    <row r="82" spans="1:60" x14ac:dyDescent="0.25">
      <c r="A82"/>
      <c r="B82" t="s">
        <v>11</v>
      </c>
      <c r="C82">
        <v>5.3</v>
      </c>
      <c r="H82">
        <v>5.3</v>
      </c>
      <c r="AS82">
        <f>(AS52*AT53)-(AS53*AT52)</f>
        <v>-4.5999999999999996</v>
      </c>
      <c r="AT82">
        <f>(AT52*AU53)-(AT53*AU52)</f>
        <v>-1.7</v>
      </c>
      <c r="AU82">
        <f>(AU52*AV53)-(AU53*AV52)</f>
        <v>0</v>
      </c>
      <c r="AV82">
        <f>(AV52*AW53)-(AV53*AW52)</f>
        <v>3.42</v>
      </c>
      <c r="AW82">
        <f>(AW52*AX53)-(AW53*AX52)</f>
        <v>10.939999999999998</v>
      </c>
      <c r="AX82">
        <f>(AX52*AS53)-(AX53*AS52)</f>
        <v>19.779999999999998</v>
      </c>
      <c r="AZ82" s="107"/>
      <c r="BA82" s="107"/>
      <c r="BC82" s="107"/>
      <c r="BD82" s="107"/>
      <c r="BE82" s="107"/>
      <c r="BF82" s="107"/>
      <c r="BH82">
        <f t="shared" si="23"/>
        <v>13.919999999999998</v>
      </c>
    </row>
    <row r="83" spans="1:60" x14ac:dyDescent="0.25">
      <c r="A83" t="s">
        <v>14</v>
      </c>
      <c r="B83" t="s">
        <v>12</v>
      </c>
      <c r="C83">
        <v>0</v>
      </c>
      <c r="AS83">
        <f>(AS55*AT56)-(AS56*AT55)</f>
        <v>-12</v>
      </c>
      <c r="AT83">
        <f>(AT55*AU56)-(AT56*AU55)</f>
        <v>-2.6</v>
      </c>
      <c r="AU83">
        <f>(AU55*AV56)-(AU56*AV55)</f>
        <v>0</v>
      </c>
      <c r="AV83">
        <f>(AV55*AW56)-(AV56*AW55)</f>
        <v>2.5499999999999998</v>
      </c>
      <c r="AW83">
        <f>(AW55*AX56)-(AW56*AX55)</f>
        <v>19.8</v>
      </c>
      <c r="AX83">
        <f>(AX55*AS56)-(AX56*AS55)</f>
        <v>33.6</v>
      </c>
      <c r="AZ83" s="107"/>
      <c r="BA83" s="107"/>
      <c r="BC83" s="107"/>
      <c r="BD83" s="107"/>
      <c r="BE83" s="107"/>
      <c r="BF83" s="107"/>
      <c r="BH83">
        <f t="shared" si="23"/>
        <v>20.675000000000001</v>
      </c>
    </row>
    <row r="84" spans="1:60" x14ac:dyDescent="0.25">
      <c r="A84"/>
      <c r="AZ84" s="107"/>
      <c r="BA84" s="107"/>
      <c r="BC84" s="107"/>
      <c r="BD84" s="107"/>
      <c r="BE84" s="107"/>
    </row>
    <row r="85" spans="1:60" x14ac:dyDescent="0.25">
      <c r="A85"/>
      <c r="AZ85" s="107"/>
      <c r="BA85" s="107"/>
      <c r="BC85" s="107"/>
      <c r="BD85" s="107"/>
      <c r="BE85" s="107"/>
    </row>
    <row r="86" spans="1:60" x14ac:dyDescent="0.25">
      <c r="A86"/>
      <c r="B86" t="s">
        <v>103</v>
      </c>
    </row>
    <row r="87" spans="1:60" x14ac:dyDescent="0.25">
      <c r="C87" t="s">
        <v>10</v>
      </c>
      <c r="D87">
        <v>0.4</v>
      </c>
    </row>
    <row r="88" spans="1:60" x14ac:dyDescent="0.25">
      <c r="C88" t="s">
        <v>11</v>
      </c>
      <c r="D88">
        <v>1.2</v>
      </c>
    </row>
    <row r="89" spans="1:60" x14ac:dyDescent="0.25">
      <c r="C89" t="s">
        <v>12</v>
      </c>
      <c r="D89">
        <v>20.5</v>
      </c>
    </row>
  </sheetData>
  <sortState ref="BE57:BF76">
    <sortCondition descending="1" ref="BE57:BE76"/>
  </sortState>
  <mergeCells count="22">
    <mergeCell ref="A64:A70"/>
    <mergeCell ref="A46:A48"/>
    <mergeCell ref="A49:A51"/>
    <mergeCell ref="A52:A54"/>
    <mergeCell ref="A55:A57"/>
    <mergeCell ref="A58:A60"/>
    <mergeCell ref="A61:A63"/>
    <mergeCell ref="BI1:BN1"/>
    <mergeCell ref="A4:A6"/>
    <mergeCell ref="A7:A9"/>
    <mergeCell ref="A43:A45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40:A42"/>
  </mergeCells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2"/>
  <sheetViews>
    <sheetView topLeftCell="U1" zoomScale="75" zoomScaleNormal="75" workbookViewId="0">
      <selection activeCell="AO8" sqref="AO8"/>
    </sheetView>
  </sheetViews>
  <sheetFormatPr defaultRowHeight="15" x14ac:dyDescent="0.25"/>
  <cols>
    <col min="2" max="2" width="12" bestFit="1" customWidth="1"/>
    <col min="3" max="3" width="10.85546875" bestFit="1" customWidth="1"/>
    <col min="4" max="4" width="9.7109375" bestFit="1" customWidth="1"/>
    <col min="5" max="6" width="10.85546875" bestFit="1" customWidth="1"/>
    <col min="7" max="8" width="9.28515625" bestFit="1" customWidth="1"/>
    <col min="9" max="10" width="9.28515625" customWidth="1"/>
    <col min="11" max="11" width="10.85546875" bestFit="1" customWidth="1"/>
    <col min="12" max="14" width="9.28515625" customWidth="1"/>
    <col min="17" max="17" width="9.7109375" bestFit="1" customWidth="1"/>
    <col min="19" max="20" width="9.28515625" bestFit="1" customWidth="1"/>
    <col min="23" max="23" width="9.7109375" bestFit="1" customWidth="1"/>
    <col min="25" max="27" width="9.28515625" bestFit="1" customWidth="1"/>
  </cols>
  <sheetData>
    <row r="1" spans="1:5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47">
        <v>41491</v>
      </c>
      <c r="AJ1" s="47">
        <v>41495</v>
      </c>
      <c r="AK1" s="47">
        <v>41517</v>
      </c>
    </row>
    <row r="2" spans="1:51" ht="15.75" thickBot="1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/>
      <c r="AI2" s="218"/>
      <c r="AJ2" s="218"/>
      <c r="AK2" s="218"/>
      <c r="AL2" s="218"/>
      <c r="AM2" s="218"/>
      <c r="AN2" s="218"/>
      <c r="AO2" s="218"/>
      <c r="AP2" s="205"/>
      <c r="AQ2" s="205"/>
      <c r="AR2" s="205"/>
      <c r="AS2" s="205"/>
      <c r="AT2" s="3"/>
      <c r="AU2" s="3"/>
      <c r="AV2" s="3"/>
      <c r="AW2" s="3"/>
      <c r="AX2" s="3"/>
      <c r="AY2" s="3"/>
    </row>
    <row r="3" spans="1:51" x14ac:dyDescent="0.25">
      <c r="C3" s="1"/>
      <c r="D3" s="2"/>
      <c r="E3" s="47">
        <v>41453</v>
      </c>
      <c r="F3" s="2"/>
      <c r="G3" s="2"/>
      <c r="K3" s="102">
        <v>41478</v>
      </c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5">
        <v>41491</v>
      </c>
      <c r="AJ3" s="105">
        <v>41495</v>
      </c>
      <c r="AK3" s="106">
        <v>41516</v>
      </c>
      <c r="AL3" s="103">
        <v>41453</v>
      </c>
      <c r="AM3" s="105">
        <v>41491</v>
      </c>
      <c r="AN3" s="105">
        <v>41495</v>
      </c>
      <c r="AO3" s="106" t="s">
        <v>2</v>
      </c>
      <c r="AP3" s="171"/>
      <c r="AQ3" s="171"/>
      <c r="AR3" s="171"/>
      <c r="AS3" s="171"/>
      <c r="AT3" s="1"/>
      <c r="AU3" t="s">
        <v>50</v>
      </c>
      <c r="AV3" t="s">
        <v>42</v>
      </c>
      <c r="AW3" t="s">
        <v>54</v>
      </c>
      <c r="AX3" t="s">
        <v>55</v>
      </c>
      <c r="AY3" t="s">
        <v>59</v>
      </c>
    </row>
    <row r="4" spans="1:51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/>
      <c r="J4" s="4"/>
      <c r="K4" s="4"/>
      <c r="L4" s="4"/>
      <c r="M4" s="4"/>
      <c r="N4" s="4"/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0" t="s">
        <v>37</v>
      </c>
      <c r="AM4" s="71" t="s">
        <v>38</v>
      </c>
      <c r="AN4" s="71" t="s">
        <v>39</v>
      </c>
      <c r="AO4" s="71" t="s">
        <v>40</v>
      </c>
      <c r="AP4" s="71"/>
      <c r="AQ4" s="71" t="s">
        <v>10</v>
      </c>
      <c r="AR4" s="71" t="s">
        <v>12</v>
      </c>
      <c r="AS4" s="71"/>
      <c r="AT4" t="s">
        <v>9</v>
      </c>
      <c r="AU4">
        <v>0</v>
      </c>
      <c r="AW4">
        <v>-5.0999999999999996</v>
      </c>
      <c r="AX4">
        <v>11.5</v>
      </c>
    </row>
    <row r="5" spans="1:51" x14ac:dyDescent="0.25">
      <c r="A5" s="219" t="s">
        <v>14</v>
      </c>
      <c r="B5" s="5" t="s">
        <v>10</v>
      </c>
      <c r="C5" s="121"/>
      <c r="D5" s="122"/>
      <c r="E5" s="122"/>
      <c r="F5" s="122"/>
      <c r="G5" s="122"/>
      <c r="H5" s="123"/>
      <c r="I5" s="116"/>
      <c r="J5" s="116"/>
      <c r="K5" s="116"/>
      <c r="L5" s="116"/>
      <c r="M5" s="116"/>
      <c r="N5" s="116"/>
      <c r="O5" s="121"/>
      <c r="P5" s="122"/>
      <c r="Q5" s="122"/>
      <c r="R5" s="122"/>
      <c r="S5" s="122"/>
      <c r="T5" s="123"/>
      <c r="U5" s="121"/>
      <c r="V5" s="122"/>
      <c r="W5" s="122"/>
      <c r="X5" s="122"/>
      <c r="Y5" s="122"/>
      <c r="Z5" s="123"/>
      <c r="AA5" s="10">
        <v>-0.8</v>
      </c>
      <c r="AB5" s="10">
        <v>-0.8</v>
      </c>
      <c r="AC5" s="10">
        <v>-0.8</v>
      </c>
      <c r="AD5" s="10">
        <v>0.8</v>
      </c>
      <c r="AE5" s="10">
        <v>0.8</v>
      </c>
      <c r="AF5" s="11">
        <v>0.8</v>
      </c>
      <c r="AG5" s="16" t="s">
        <v>14</v>
      </c>
      <c r="AH5" s="74">
        <f t="shared" ref="AH5:AK7" si="0">AG15</f>
        <v>0</v>
      </c>
      <c r="AI5" s="74">
        <f t="shared" si="0"/>
        <v>0</v>
      </c>
      <c r="AJ5" s="74">
        <f t="shared" si="0"/>
        <v>0</v>
      </c>
      <c r="AK5" s="74">
        <f t="shared" si="0"/>
        <v>1.92</v>
      </c>
      <c r="AL5" s="49"/>
      <c r="AM5" s="49"/>
      <c r="AN5" s="49"/>
      <c r="AO5" s="81"/>
      <c r="AP5" s="16" t="s">
        <v>14</v>
      </c>
      <c r="AQ5" s="49">
        <f>AF5-AA5</f>
        <v>1.6</v>
      </c>
      <c r="AR5" s="49">
        <f>AA7</f>
        <v>0.2</v>
      </c>
      <c r="AS5" s="49"/>
      <c r="AT5" t="s">
        <v>13</v>
      </c>
      <c r="AU5">
        <v>2.4</v>
      </c>
      <c r="AV5" s="100">
        <v>99.397579792000016</v>
      </c>
      <c r="AW5">
        <v>-5.0999999999999996</v>
      </c>
      <c r="AX5">
        <v>11.6</v>
      </c>
    </row>
    <row r="6" spans="1:51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5"/>
      <c r="J6" s="125"/>
      <c r="K6" s="125"/>
      <c r="L6" s="125"/>
      <c r="M6" s="125"/>
      <c r="N6" s="125"/>
      <c r="O6" s="124"/>
      <c r="P6" s="125"/>
      <c r="Q6" s="125"/>
      <c r="R6" s="125"/>
      <c r="S6" s="125"/>
      <c r="T6" s="126"/>
      <c r="U6" s="124"/>
      <c r="V6" s="125"/>
      <c r="W6" s="125"/>
      <c r="X6" s="125"/>
      <c r="Y6" s="125"/>
      <c r="Z6" s="126"/>
      <c r="AA6" s="16">
        <v>0</v>
      </c>
      <c r="AB6" s="16">
        <v>-1.2</v>
      </c>
      <c r="AC6" s="16">
        <v>-1.2</v>
      </c>
      <c r="AD6" s="16">
        <v>-1.2</v>
      </c>
      <c r="AE6" s="16">
        <v>-1.2</v>
      </c>
      <c r="AF6" s="17">
        <v>0</v>
      </c>
      <c r="AG6" s="16" t="s">
        <v>13</v>
      </c>
      <c r="AH6" s="74">
        <f t="shared" si="0"/>
        <v>5.66</v>
      </c>
      <c r="AI6" s="74">
        <f t="shared" si="0"/>
        <v>5.66</v>
      </c>
      <c r="AJ6" s="74">
        <f t="shared" si="0"/>
        <v>5.91</v>
      </c>
      <c r="AK6" s="74">
        <f t="shared" si="0"/>
        <v>6.18</v>
      </c>
      <c r="AL6" s="82"/>
      <c r="AM6" s="82"/>
      <c r="AN6" s="82"/>
      <c r="AO6" s="83">
        <f>(AK5+AK6)/2*$AA$7</f>
        <v>0.81</v>
      </c>
      <c r="AP6" s="16" t="s">
        <v>13</v>
      </c>
      <c r="AQ6" s="82">
        <f>AF8-AA8</f>
        <v>5</v>
      </c>
      <c r="AR6" s="82">
        <f>AA10</f>
        <v>1.6</v>
      </c>
      <c r="AS6" s="82"/>
      <c r="AT6" t="s">
        <v>14</v>
      </c>
      <c r="AU6">
        <v>4.9000000000000004</v>
      </c>
      <c r="AV6" s="100">
        <v>97.639239366666658</v>
      </c>
      <c r="AW6">
        <v>-4.7</v>
      </c>
      <c r="AX6">
        <v>9</v>
      </c>
      <c r="AY6">
        <v>-2.0099999999999998</v>
      </c>
    </row>
    <row r="7" spans="1:51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8"/>
      <c r="J7" s="118"/>
      <c r="K7" s="118"/>
      <c r="L7" s="118"/>
      <c r="M7" s="118"/>
      <c r="N7" s="118"/>
      <c r="O7" s="117"/>
      <c r="P7" s="118"/>
      <c r="Q7" s="118"/>
      <c r="R7" s="118"/>
      <c r="S7" s="118"/>
      <c r="T7" s="119"/>
      <c r="U7" s="117"/>
      <c r="V7" s="118"/>
      <c r="W7" s="118"/>
      <c r="X7" s="118"/>
      <c r="Y7" s="118"/>
      <c r="Z7" s="119"/>
      <c r="AA7" s="158">
        <v>0.2</v>
      </c>
      <c r="AB7" s="25"/>
      <c r="AC7" s="25"/>
      <c r="AD7" s="25"/>
      <c r="AE7" s="25"/>
      <c r="AF7" s="26"/>
      <c r="AG7" s="16" t="s">
        <v>9</v>
      </c>
      <c r="AH7" s="74">
        <f t="shared" si="0"/>
        <v>10.234</v>
      </c>
      <c r="AI7" s="74">
        <f t="shared" si="0"/>
        <v>10.56</v>
      </c>
      <c r="AJ7" s="74">
        <f t="shared" si="0"/>
        <v>10.035</v>
      </c>
      <c r="AK7" s="74">
        <f t="shared" si="0"/>
        <v>11.095000000000001</v>
      </c>
      <c r="AL7" s="82">
        <f>(AH6+AH7)/2*$AA$10</f>
        <v>12.715200000000001</v>
      </c>
      <c r="AM7" s="82">
        <f>(AI6+AI7)/2*$AA$10</f>
        <v>12.975999999999999</v>
      </c>
      <c r="AN7" s="82">
        <f>(AJ6+AJ7)/2*$AA$10</f>
        <v>12.756</v>
      </c>
      <c r="AO7" s="82">
        <f>(AK6+AK7)/2*$AA$10</f>
        <v>13.82</v>
      </c>
      <c r="AP7" s="16" t="s">
        <v>9</v>
      </c>
      <c r="AQ7" s="82">
        <f>AF11-AA11</f>
        <v>7.3000000000000007</v>
      </c>
      <c r="AR7" s="82">
        <f>AA13</f>
        <v>0</v>
      </c>
      <c r="AS7" s="82"/>
      <c r="AT7" t="s">
        <v>15</v>
      </c>
      <c r="AU7">
        <v>7.4</v>
      </c>
      <c r="AV7" s="100">
        <v>100.22718749999999</v>
      </c>
      <c r="AW7">
        <v>-4.7</v>
      </c>
      <c r="AX7">
        <v>12</v>
      </c>
      <c r="AY7">
        <v>-2.42</v>
      </c>
    </row>
    <row r="8" spans="1:51" x14ac:dyDescent="0.25">
      <c r="A8" s="219" t="s">
        <v>13</v>
      </c>
      <c r="B8" s="12" t="s">
        <v>10</v>
      </c>
      <c r="C8">
        <v>-2.2000000000000002</v>
      </c>
      <c r="D8" s="31">
        <v>-1.9</v>
      </c>
      <c r="E8" s="31">
        <v>-0.9</v>
      </c>
      <c r="F8" s="31">
        <v>1</v>
      </c>
      <c r="G8">
        <v>2.2999999999999998</v>
      </c>
      <c r="H8">
        <v>2.48</v>
      </c>
      <c r="I8">
        <v>-2.2000000000000002</v>
      </c>
      <c r="J8" s="31">
        <v>-1.9</v>
      </c>
      <c r="K8" s="31">
        <v>-0.9</v>
      </c>
      <c r="L8" s="31">
        <v>1</v>
      </c>
      <c r="M8">
        <v>2.2999999999999998</v>
      </c>
      <c r="N8">
        <v>2.48</v>
      </c>
      <c r="O8">
        <v>-2.2000000000000002</v>
      </c>
      <c r="P8" s="31">
        <v>-1.9</v>
      </c>
      <c r="Q8" s="31">
        <v>-0.9</v>
      </c>
      <c r="R8" s="31">
        <v>1</v>
      </c>
      <c r="S8">
        <v>2.2999999999999998</v>
      </c>
      <c r="T8">
        <v>2.48</v>
      </c>
      <c r="U8">
        <v>-2.5</v>
      </c>
      <c r="V8" s="31">
        <v>-2</v>
      </c>
      <c r="W8" s="31">
        <v>-1</v>
      </c>
      <c r="X8" s="31">
        <v>1</v>
      </c>
      <c r="Y8">
        <v>2.2999999999999998</v>
      </c>
      <c r="Z8">
        <v>2.5</v>
      </c>
      <c r="AA8" s="16">
        <v>-2.5</v>
      </c>
      <c r="AB8" s="111">
        <v>-2.2999999999999998</v>
      </c>
      <c r="AC8" s="111">
        <v>-1.1000000000000001</v>
      </c>
      <c r="AD8" s="111">
        <v>1.2</v>
      </c>
      <c r="AE8" s="111">
        <v>2.2999999999999998</v>
      </c>
      <c r="AF8" s="29">
        <v>2.5</v>
      </c>
      <c r="AG8" s="16"/>
      <c r="AH8" s="74">
        <f>SUM(AH5:AH7)</f>
        <v>15.894</v>
      </c>
      <c r="AI8" s="74">
        <f>SUM(AI5:AI7)</f>
        <v>16.22</v>
      </c>
      <c r="AJ8" s="74">
        <f>SUM(AJ5:AJ7)</f>
        <v>15.945</v>
      </c>
      <c r="AK8" s="74">
        <f>SUM(AK5:AK7)</f>
        <v>19.195</v>
      </c>
      <c r="AL8" s="144">
        <f>AL7+AL6</f>
        <v>12.715200000000001</v>
      </c>
      <c r="AM8" s="144">
        <f>AM7+AM6</f>
        <v>12.975999999999999</v>
      </c>
      <c r="AN8" s="144">
        <f>AN7+AN6</f>
        <v>12.756</v>
      </c>
      <c r="AO8" s="144">
        <f>AO7+AO6</f>
        <v>14.63</v>
      </c>
      <c r="AP8" s="144"/>
      <c r="AQ8" s="144"/>
      <c r="AR8" s="144"/>
      <c r="AS8" s="144"/>
      <c r="AT8">
        <v>26.558158639999998</v>
      </c>
      <c r="AV8" s="100"/>
    </row>
    <row r="9" spans="1:51" x14ac:dyDescent="0.25">
      <c r="A9" s="220"/>
      <c r="B9" s="12" t="s">
        <v>11</v>
      </c>
      <c r="C9" s="16">
        <v>0</v>
      </c>
      <c r="D9" s="132">
        <v>-1</v>
      </c>
      <c r="E9" s="132">
        <v>-1.4</v>
      </c>
      <c r="F9" s="132">
        <v>-1.4</v>
      </c>
      <c r="G9" s="132">
        <v>-1</v>
      </c>
      <c r="H9" s="29">
        <v>0</v>
      </c>
      <c r="I9" s="16">
        <v>0</v>
      </c>
      <c r="J9" s="194">
        <v>-1</v>
      </c>
      <c r="K9" s="194">
        <v>-1.4</v>
      </c>
      <c r="L9" s="194">
        <v>-1.4</v>
      </c>
      <c r="M9" s="194">
        <v>-1</v>
      </c>
      <c r="N9" s="29">
        <v>0</v>
      </c>
      <c r="O9" s="16">
        <v>0</v>
      </c>
      <c r="P9" s="132">
        <v>-1</v>
      </c>
      <c r="Q9" s="132">
        <v>-1.4</v>
      </c>
      <c r="R9" s="132">
        <v>-1.4</v>
      </c>
      <c r="S9" s="132">
        <v>-1</v>
      </c>
      <c r="T9" s="29">
        <v>0</v>
      </c>
      <c r="U9" s="16">
        <v>0</v>
      </c>
      <c r="V9" s="132">
        <v>-1</v>
      </c>
      <c r="W9" s="132">
        <v>-1.4</v>
      </c>
      <c r="X9" s="132">
        <v>-1.4</v>
      </c>
      <c r="Y9" s="132">
        <v>-1</v>
      </c>
      <c r="Z9" s="29">
        <v>0</v>
      </c>
      <c r="AA9" s="16">
        <v>0</v>
      </c>
      <c r="AB9" s="111">
        <v>-1</v>
      </c>
      <c r="AC9" s="111">
        <v>-1.4</v>
      </c>
      <c r="AD9" s="111">
        <v>-1.4</v>
      </c>
      <c r="AE9" s="111">
        <v>-1</v>
      </c>
      <c r="AF9" s="29">
        <v>0</v>
      </c>
      <c r="AG9" s="16"/>
      <c r="AH9" s="74"/>
      <c r="AI9" s="77"/>
      <c r="AJ9" s="74"/>
      <c r="AK9" s="75">
        <f>AK8-AH8</f>
        <v>3.3010000000000002</v>
      </c>
      <c r="AL9" s="144"/>
      <c r="AM9" s="144"/>
      <c r="AN9" s="144"/>
      <c r="AO9" s="146">
        <f>AO8-AL8</f>
        <v>1.9147999999999996</v>
      </c>
      <c r="AP9" s="144"/>
      <c r="AQ9" s="144"/>
      <c r="AR9" s="144"/>
      <c r="AS9" s="144"/>
      <c r="AT9">
        <v>12.299741037439999</v>
      </c>
      <c r="AV9" s="100"/>
    </row>
    <row r="10" spans="1:51" ht="15.75" thickBot="1" x14ac:dyDescent="0.3">
      <c r="A10" s="221"/>
      <c r="B10" s="12" t="s">
        <v>12</v>
      </c>
      <c r="C10" s="30"/>
      <c r="D10" s="31"/>
      <c r="E10" s="31"/>
      <c r="F10" s="31"/>
      <c r="G10" s="31"/>
      <c r="H10" s="32"/>
      <c r="I10" s="30"/>
      <c r="J10" s="31"/>
      <c r="K10" s="31"/>
      <c r="L10" s="31"/>
      <c r="M10" s="31"/>
      <c r="N10" s="32"/>
      <c r="O10" s="30"/>
      <c r="P10" s="31"/>
      <c r="Q10" s="31"/>
      <c r="R10" s="31"/>
      <c r="S10" s="31"/>
      <c r="T10" s="32"/>
      <c r="U10" s="30"/>
      <c r="V10" s="31"/>
      <c r="W10" s="31"/>
      <c r="X10" s="31"/>
      <c r="Y10" s="31"/>
      <c r="Z10" s="32"/>
      <c r="AA10" s="16">
        <v>1.6</v>
      </c>
      <c r="AB10" s="111"/>
      <c r="AC10" s="111"/>
      <c r="AD10" s="111"/>
      <c r="AE10" s="111"/>
      <c r="AF10" s="29"/>
      <c r="AG10" s="16"/>
      <c r="AH10" s="74"/>
      <c r="AI10" s="74"/>
      <c r="AJ10" s="74"/>
      <c r="AK10" s="75"/>
      <c r="AL10" s="82"/>
      <c r="AM10" s="82"/>
      <c r="AN10" s="82"/>
      <c r="AO10" s="83"/>
      <c r="AP10" s="82"/>
      <c r="AQ10" s="82"/>
      <c r="AR10" s="82"/>
      <c r="AS10" s="82"/>
      <c r="AV10" s="100"/>
    </row>
    <row r="11" spans="1:51" x14ac:dyDescent="0.25">
      <c r="A11" s="219" t="s">
        <v>9</v>
      </c>
      <c r="B11" s="5" t="s">
        <v>10</v>
      </c>
      <c r="C11">
        <v>-3.5</v>
      </c>
      <c r="D11" s="36">
        <v>-3.3</v>
      </c>
      <c r="E11" s="36">
        <v>-1.6</v>
      </c>
      <c r="F11" s="36">
        <v>1.6</v>
      </c>
      <c r="G11">
        <v>3.14</v>
      </c>
      <c r="H11">
        <v>3.5600000000000005</v>
      </c>
      <c r="I11">
        <v>-3.5</v>
      </c>
      <c r="J11" s="36">
        <v>-3.3</v>
      </c>
      <c r="K11" s="36">
        <v>-1.6</v>
      </c>
      <c r="L11" s="36">
        <v>1.6</v>
      </c>
      <c r="M11">
        <v>3.14</v>
      </c>
      <c r="N11">
        <v>3.5600000000000005</v>
      </c>
      <c r="O11">
        <v>-3.5</v>
      </c>
      <c r="P11" s="36">
        <v>-3.3</v>
      </c>
      <c r="Q11" s="36">
        <v>-1.6</v>
      </c>
      <c r="R11" s="36">
        <v>1.6</v>
      </c>
      <c r="S11">
        <v>3.4</v>
      </c>
      <c r="T11">
        <v>3.7</v>
      </c>
      <c r="U11">
        <v>-3.5</v>
      </c>
      <c r="V11" s="36">
        <v>-3.3</v>
      </c>
      <c r="W11" s="36">
        <v>-1.6</v>
      </c>
      <c r="X11" s="36">
        <v>1.6</v>
      </c>
      <c r="Y11">
        <v>3.4</v>
      </c>
      <c r="Z11">
        <v>3.7</v>
      </c>
      <c r="AA11" s="10">
        <v>-3.6</v>
      </c>
      <c r="AB11" s="34">
        <v>-3.4</v>
      </c>
      <c r="AC11" s="34">
        <v>-2.1</v>
      </c>
      <c r="AD11" s="34">
        <v>2.2000000000000002</v>
      </c>
      <c r="AE11" s="34">
        <v>3.5</v>
      </c>
      <c r="AF11" s="8">
        <v>3.7</v>
      </c>
      <c r="AG11" s="16"/>
      <c r="AH11" s="49"/>
      <c r="AI11" s="74"/>
      <c r="AJ11" s="74"/>
      <c r="AK11" s="75"/>
      <c r="AL11" s="3"/>
      <c r="AM11" s="82"/>
      <c r="AN11" s="82"/>
      <c r="AO11" s="83"/>
      <c r="AP11" s="82"/>
      <c r="AQ11" s="82"/>
      <c r="AR11" s="82"/>
      <c r="AS11" s="82"/>
      <c r="AV11" s="100"/>
    </row>
    <row r="12" spans="1:51" x14ac:dyDescent="0.25">
      <c r="A12" s="220"/>
      <c r="B12" s="12" t="s">
        <v>11</v>
      </c>
      <c r="C12" s="16">
        <v>0</v>
      </c>
      <c r="D12" s="132">
        <v>-0.6</v>
      </c>
      <c r="E12" s="132">
        <v>-1.7</v>
      </c>
      <c r="F12" s="132">
        <v>-1.7</v>
      </c>
      <c r="G12" s="132">
        <v>-1.5</v>
      </c>
      <c r="H12" s="29">
        <v>0</v>
      </c>
      <c r="I12" s="16">
        <v>0</v>
      </c>
      <c r="J12" s="194">
        <v>-0.6</v>
      </c>
      <c r="K12" s="194">
        <v>-1.7</v>
      </c>
      <c r="L12" s="194">
        <v>-1.7</v>
      </c>
      <c r="M12" s="194">
        <v>-1.5</v>
      </c>
      <c r="N12" s="29">
        <v>0</v>
      </c>
      <c r="O12" s="16">
        <v>0</v>
      </c>
      <c r="P12" s="132">
        <v>-0.6</v>
      </c>
      <c r="Q12" s="132">
        <v>-1.7</v>
      </c>
      <c r="R12" s="132">
        <v>-1.7</v>
      </c>
      <c r="S12" s="132">
        <v>-1.5</v>
      </c>
      <c r="T12" s="29">
        <v>0</v>
      </c>
      <c r="U12" s="16">
        <v>0</v>
      </c>
      <c r="V12" s="132">
        <v>-0.6</v>
      </c>
      <c r="W12" s="132">
        <v>-1.7</v>
      </c>
      <c r="X12" s="132">
        <v>-1.7</v>
      </c>
      <c r="Y12" s="132">
        <v>-1</v>
      </c>
      <c r="Z12" s="29">
        <v>0</v>
      </c>
      <c r="AA12" s="16">
        <v>0</v>
      </c>
      <c r="AB12" s="111">
        <v>-0.6</v>
      </c>
      <c r="AC12" s="111">
        <v>-1.7</v>
      </c>
      <c r="AD12" s="111">
        <v>-1.7</v>
      </c>
      <c r="AE12" s="111">
        <v>-1.5</v>
      </c>
      <c r="AF12" s="29">
        <v>0</v>
      </c>
      <c r="AG12" s="16"/>
      <c r="AH12" s="49"/>
      <c r="AI12" s="49"/>
      <c r="AJ12" s="3"/>
      <c r="AK12" s="75"/>
      <c r="AL12" s="3"/>
      <c r="AM12" s="3"/>
      <c r="AN12" s="82"/>
      <c r="AO12" s="83"/>
      <c r="AP12" s="82"/>
      <c r="AQ12" s="82"/>
      <c r="AR12" s="82"/>
      <c r="AS12" s="82"/>
      <c r="AV12" s="100"/>
    </row>
    <row r="13" spans="1:51" ht="15.75" thickBot="1" x14ac:dyDescent="0.3">
      <c r="A13" s="221"/>
      <c r="B13" s="18" t="s">
        <v>12</v>
      </c>
      <c r="C13" s="22"/>
      <c r="D13" s="23"/>
      <c r="E13" s="23"/>
      <c r="F13" s="23"/>
      <c r="G13" s="23"/>
      <c r="H13" s="24"/>
      <c r="I13" s="22"/>
      <c r="J13" s="23"/>
      <c r="K13" s="23"/>
      <c r="L13" s="23"/>
      <c r="M13" s="23"/>
      <c r="N13" s="24"/>
      <c r="O13" s="22"/>
      <c r="P13" s="23"/>
      <c r="Q13" s="23"/>
      <c r="R13" s="23"/>
      <c r="S13" s="23"/>
      <c r="T13" s="24"/>
      <c r="U13" s="22"/>
      <c r="V13" s="23"/>
      <c r="W13" s="23"/>
      <c r="X13" s="23"/>
      <c r="Y13" s="23"/>
      <c r="Z13" s="24"/>
      <c r="AA13" s="25">
        <v>0</v>
      </c>
      <c r="AB13" s="20"/>
      <c r="AC13" s="20"/>
      <c r="AD13" s="20"/>
      <c r="AE13" s="20"/>
      <c r="AF13" s="21"/>
      <c r="AG13" s="16"/>
      <c r="AH13" s="53"/>
      <c r="AI13" s="53"/>
      <c r="AJ13" s="53"/>
      <c r="AK13" s="80"/>
      <c r="AL13" s="58"/>
      <c r="AM13" s="58"/>
      <c r="AN13" s="58"/>
      <c r="AO13" s="84"/>
      <c r="AP13" s="82"/>
      <c r="AQ13" s="82"/>
      <c r="AR13" s="82"/>
      <c r="AS13" s="82"/>
    </row>
    <row r="14" spans="1:51" x14ac:dyDescent="0.25">
      <c r="AL14" t="s">
        <v>79</v>
      </c>
      <c r="AN14" s="64">
        <f>(AD6+AD9+AD12)/3</f>
        <v>-1.4333333333333333</v>
      </c>
    </row>
    <row r="15" spans="1:51" x14ac:dyDescent="0.25">
      <c r="A15" s="47"/>
      <c r="B15" s="63"/>
      <c r="C15">
        <f>(C5*D6)-(C6*D5)</f>
        <v>0</v>
      </c>
      <c r="D15">
        <f t="shared" ref="D15:AE15" si="1">(D5*E6)-(D6*E5)</f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>(H5*C6)-(H6*C5)</f>
        <v>0</v>
      </c>
      <c r="I15">
        <f>(I5*J6)-(I6*J5)</f>
        <v>0</v>
      </c>
      <c r="J15">
        <f t="shared" ref="J15" si="2">(J5*K6)-(J6*K5)</f>
        <v>0</v>
      </c>
      <c r="K15">
        <f t="shared" ref="K15" si="3">(K5*L6)-(K6*L5)</f>
        <v>0</v>
      </c>
      <c r="L15">
        <f t="shared" ref="L15" si="4">(L5*M6)-(L6*M5)</f>
        <v>0</v>
      </c>
      <c r="M15">
        <f t="shared" ref="M15" si="5">(M5*N6)-(M6*N5)</f>
        <v>0</v>
      </c>
      <c r="N15">
        <f>(N5*I6)-(N6*I5)</f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>(T5*O6)-(T6*O5)</f>
        <v>0</v>
      </c>
      <c r="U15">
        <f t="shared" si="1"/>
        <v>0</v>
      </c>
      <c r="V15">
        <f t="shared" si="1"/>
        <v>0</v>
      </c>
      <c r="W15">
        <f t="shared" si="1"/>
        <v>0</v>
      </c>
      <c r="X15">
        <f t="shared" si="1"/>
        <v>0</v>
      </c>
      <c r="Y15">
        <f t="shared" si="1"/>
        <v>0</v>
      </c>
      <c r="Z15">
        <f>(Z5*U6)-(Z6*U5)</f>
        <v>0</v>
      </c>
      <c r="AA15">
        <f t="shared" si="1"/>
        <v>0.96</v>
      </c>
      <c r="AB15">
        <f t="shared" si="1"/>
        <v>0</v>
      </c>
      <c r="AC15">
        <f t="shared" si="1"/>
        <v>1.92</v>
      </c>
      <c r="AD15">
        <f t="shared" si="1"/>
        <v>0</v>
      </c>
      <c r="AE15">
        <f t="shared" si="1"/>
        <v>0.96</v>
      </c>
      <c r="AF15">
        <f>(AF5*AA6)-(AF6*AA5)</f>
        <v>0</v>
      </c>
      <c r="AG15">
        <f>ABS(SUM(C15:H15))/2</f>
        <v>0</v>
      </c>
      <c r="AH15">
        <f>ABS(SUM(O15:T15))/2</f>
        <v>0</v>
      </c>
      <c r="AI15">
        <f>ABS(SUM(U15:Z15))/2</f>
        <v>0</v>
      </c>
      <c r="AJ15" s="63">
        <f>ABS(SUM(AA15:AF15))/2</f>
        <v>1.92</v>
      </c>
    </row>
    <row r="16" spans="1:51" ht="14.25" customHeight="1" x14ac:dyDescent="0.25">
      <c r="A16" s="47"/>
      <c r="B16" s="63"/>
      <c r="C16">
        <f>(C8*D9)-(C9*D8)</f>
        <v>2.2000000000000002</v>
      </c>
      <c r="D16">
        <f t="shared" ref="D16:AE16" si="6">(D8*E9)-(D9*E8)</f>
        <v>1.7599999999999998</v>
      </c>
      <c r="E16">
        <f t="shared" si="6"/>
        <v>2.66</v>
      </c>
      <c r="F16">
        <f t="shared" si="6"/>
        <v>2.2199999999999998</v>
      </c>
      <c r="G16">
        <f t="shared" si="6"/>
        <v>2.48</v>
      </c>
      <c r="H16">
        <f>(H8*C9)-(H9*C8)</f>
        <v>0</v>
      </c>
      <c r="I16">
        <f>(I8*J9)-(I9*J8)</f>
        <v>2.2000000000000002</v>
      </c>
      <c r="J16">
        <f t="shared" ref="J16" si="7">(J8*K9)-(J9*K8)</f>
        <v>1.7599999999999998</v>
      </c>
      <c r="K16">
        <f t="shared" ref="K16" si="8">(K8*L9)-(K9*L8)</f>
        <v>2.66</v>
      </c>
      <c r="L16">
        <f t="shared" ref="L16" si="9">(L8*M9)-(L9*M8)</f>
        <v>2.2199999999999998</v>
      </c>
      <c r="M16">
        <f t="shared" ref="M16" si="10">(M8*N9)-(M9*N8)</f>
        <v>2.48</v>
      </c>
      <c r="N16">
        <f>(N8*I9)-(N9*I8)</f>
        <v>0</v>
      </c>
      <c r="O16">
        <f t="shared" si="6"/>
        <v>2.2000000000000002</v>
      </c>
      <c r="P16">
        <f t="shared" si="6"/>
        <v>1.7599999999999998</v>
      </c>
      <c r="Q16">
        <f t="shared" si="6"/>
        <v>2.66</v>
      </c>
      <c r="R16">
        <f t="shared" si="6"/>
        <v>2.2199999999999998</v>
      </c>
      <c r="S16">
        <f t="shared" si="6"/>
        <v>2.48</v>
      </c>
      <c r="T16">
        <f>(T8*O9)-(T9*O8)</f>
        <v>0</v>
      </c>
      <c r="U16">
        <f t="shared" si="6"/>
        <v>2.5</v>
      </c>
      <c r="V16">
        <f t="shared" si="6"/>
        <v>1.7999999999999998</v>
      </c>
      <c r="W16">
        <f t="shared" si="6"/>
        <v>2.8</v>
      </c>
      <c r="X16">
        <f t="shared" si="6"/>
        <v>2.2199999999999998</v>
      </c>
      <c r="Y16">
        <f t="shared" si="6"/>
        <v>2.5</v>
      </c>
      <c r="Z16">
        <f>(Z8*U9)-(Z9*U8)</f>
        <v>0</v>
      </c>
      <c r="AA16">
        <f t="shared" si="6"/>
        <v>2.5</v>
      </c>
      <c r="AB16">
        <f t="shared" si="6"/>
        <v>2.1199999999999997</v>
      </c>
      <c r="AC16">
        <f t="shared" si="6"/>
        <v>3.2199999999999998</v>
      </c>
      <c r="AD16">
        <f t="shared" si="6"/>
        <v>2.0199999999999996</v>
      </c>
      <c r="AE16">
        <f t="shared" si="6"/>
        <v>2.5</v>
      </c>
      <c r="AF16">
        <f>(AF8*AA9)-(AF9*AA8)</f>
        <v>0</v>
      </c>
      <c r="AG16">
        <f>ABS(SUM(C16:H16))/2</f>
        <v>5.66</v>
      </c>
      <c r="AH16">
        <f>ABS(SUM(O16:T16))/2</f>
        <v>5.66</v>
      </c>
      <c r="AI16">
        <f>ABS(SUM(U16:Z16))/2</f>
        <v>5.91</v>
      </c>
      <c r="AJ16" s="63">
        <f>ABS(SUM(AA16:AF16))/2</f>
        <v>6.18</v>
      </c>
    </row>
    <row r="17" spans="1:36" x14ac:dyDescent="0.25">
      <c r="A17" s="47"/>
      <c r="B17" s="63"/>
      <c r="C17">
        <f>(C11*D12)-(C12*D11)</f>
        <v>2.1</v>
      </c>
      <c r="D17">
        <f t="shared" ref="D17:AE17" si="11">(D11*E12)-(D12*E11)</f>
        <v>4.6499999999999995</v>
      </c>
      <c r="E17">
        <f t="shared" si="11"/>
        <v>5.44</v>
      </c>
      <c r="F17">
        <f t="shared" si="11"/>
        <v>2.9379999999999997</v>
      </c>
      <c r="G17">
        <f t="shared" si="11"/>
        <v>5.3400000000000007</v>
      </c>
      <c r="H17">
        <f>(H11*C12)-(H12*C11)</f>
        <v>0</v>
      </c>
      <c r="I17">
        <f>(I11*J12)-(I12*J11)</f>
        <v>2.1</v>
      </c>
      <c r="J17">
        <f t="shared" ref="J17" si="12">(J11*K12)-(J12*K11)</f>
        <v>4.6499999999999995</v>
      </c>
      <c r="K17">
        <f t="shared" ref="K17" si="13">(K11*L12)-(K12*L11)</f>
        <v>5.44</v>
      </c>
      <c r="L17">
        <f t="shared" ref="L17" si="14">(L11*M12)-(L12*M11)</f>
        <v>2.9379999999999997</v>
      </c>
      <c r="M17">
        <f t="shared" ref="M17" si="15">(M11*N12)-(M12*N11)</f>
        <v>5.3400000000000007</v>
      </c>
      <c r="N17">
        <f>(N11*I12)-(N12*I11)</f>
        <v>0</v>
      </c>
      <c r="O17">
        <f t="shared" si="11"/>
        <v>2.1</v>
      </c>
      <c r="P17">
        <f t="shared" si="11"/>
        <v>4.6499999999999995</v>
      </c>
      <c r="Q17">
        <f t="shared" si="11"/>
        <v>5.44</v>
      </c>
      <c r="R17">
        <f t="shared" si="11"/>
        <v>3.379999999999999</v>
      </c>
      <c r="S17">
        <f t="shared" si="11"/>
        <v>5.5500000000000007</v>
      </c>
      <c r="T17">
        <f>(T11*O12)-(T12*O11)</f>
        <v>0</v>
      </c>
      <c r="U17">
        <f t="shared" si="11"/>
        <v>2.1</v>
      </c>
      <c r="V17">
        <f t="shared" si="11"/>
        <v>4.6499999999999995</v>
      </c>
      <c r="W17">
        <f t="shared" si="11"/>
        <v>5.44</v>
      </c>
      <c r="X17">
        <f t="shared" si="11"/>
        <v>4.18</v>
      </c>
      <c r="Y17">
        <f t="shared" si="11"/>
        <v>3.7</v>
      </c>
      <c r="Z17">
        <f>(Z11*U12)-(Z12*U11)</f>
        <v>0</v>
      </c>
      <c r="AA17">
        <f t="shared" si="11"/>
        <v>2.16</v>
      </c>
      <c r="AB17">
        <f t="shared" si="11"/>
        <v>4.5199999999999996</v>
      </c>
      <c r="AC17">
        <f t="shared" si="11"/>
        <v>7.3100000000000005</v>
      </c>
      <c r="AD17">
        <f t="shared" si="11"/>
        <v>2.65</v>
      </c>
      <c r="AE17">
        <f t="shared" si="11"/>
        <v>5.5500000000000007</v>
      </c>
      <c r="AF17">
        <f>(AF11*AA12)-(AF12*AA11)</f>
        <v>0</v>
      </c>
      <c r="AG17">
        <f>ABS(SUM(C17:H17))/2</f>
        <v>10.234</v>
      </c>
      <c r="AH17">
        <f>ABS(SUM(O17:T17))/2</f>
        <v>10.56</v>
      </c>
      <c r="AI17">
        <f>ABS(SUM(U17:Z17))/2</f>
        <v>10.035</v>
      </c>
      <c r="AJ17" s="63">
        <f>ABS(SUM(AA17:AF17))/2</f>
        <v>11.095000000000001</v>
      </c>
    </row>
    <row r="19" spans="1:36" x14ac:dyDescent="0.25">
      <c r="A19" s="85"/>
      <c r="B19" s="47"/>
      <c r="C19" s="47">
        <f>E3</f>
        <v>41453</v>
      </c>
      <c r="D19" s="102">
        <v>41478</v>
      </c>
      <c r="E19" s="47">
        <f>Q3</f>
        <v>41491</v>
      </c>
      <c r="F19" s="47">
        <f>W3</f>
        <v>41499</v>
      </c>
      <c r="G19" s="47">
        <f>AC3</f>
        <v>41516</v>
      </c>
    </row>
    <row r="20" spans="1:36" x14ac:dyDescent="0.25">
      <c r="A20" t="s">
        <v>9</v>
      </c>
      <c r="B20" t="s">
        <v>10</v>
      </c>
      <c r="C20">
        <f>H8-C8</f>
        <v>4.68</v>
      </c>
      <c r="D20">
        <f>N8-I8</f>
        <v>4.68</v>
      </c>
      <c r="E20">
        <f>T8-O8</f>
        <v>4.68</v>
      </c>
      <c r="F20">
        <f>Z8-U8</f>
        <v>5</v>
      </c>
      <c r="G20">
        <f>AF8-AA8</f>
        <v>5</v>
      </c>
    </row>
    <row r="21" spans="1:36" x14ac:dyDescent="0.25">
      <c r="B21" t="s">
        <v>11</v>
      </c>
      <c r="C21">
        <f>F9</f>
        <v>-1.4</v>
      </c>
      <c r="D21">
        <f>K9</f>
        <v>-1.4</v>
      </c>
      <c r="E21">
        <f>R9</f>
        <v>-1.4</v>
      </c>
      <c r="F21">
        <f>X9</f>
        <v>-1.4</v>
      </c>
      <c r="G21">
        <f>AD9</f>
        <v>-1.4</v>
      </c>
    </row>
    <row r="22" spans="1:36" x14ac:dyDescent="0.25">
      <c r="B22" t="s">
        <v>12</v>
      </c>
      <c r="C22">
        <f>AA10</f>
        <v>1.6</v>
      </c>
      <c r="D22">
        <f>AA10</f>
        <v>1.6</v>
      </c>
      <c r="E22">
        <f>AA10</f>
        <v>1.6</v>
      </c>
      <c r="F22">
        <f>AA10</f>
        <v>1.6</v>
      </c>
      <c r="G22">
        <f>AA10+AA7</f>
        <v>1.8</v>
      </c>
    </row>
  </sheetData>
  <mergeCells count="5">
    <mergeCell ref="AH2:AK2"/>
    <mergeCell ref="AL2:AO2"/>
    <mergeCell ref="A5:A7"/>
    <mergeCell ref="A8:A10"/>
    <mergeCell ref="A11:A13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53"/>
  <sheetViews>
    <sheetView topLeftCell="BD1" zoomScale="90" zoomScaleNormal="90" workbookViewId="0">
      <selection activeCell="BP5" sqref="BP5:BR13"/>
    </sheetView>
  </sheetViews>
  <sheetFormatPr defaultRowHeight="15" x14ac:dyDescent="0.25"/>
  <cols>
    <col min="3" max="3" width="10.7109375" bestFit="1" customWidth="1"/>
    <col min="4" max="4" width="10.85546875" bestFit="1" customWidth="1"/>
    <col min="5" max="5" width="9.7109375" bestFit="1" customWidth="1"/>
    <col min="6" max="6" width="10.42578125" bestFit="1" customWidth="1"/>
    <col min="7" max="7" width="10.85546875" bestFit="1" customWidth="1"/>
    <col min="10" max="10" width="10.42578125" bestFit="1" customWidth="1"/>
    <col min="15" max="15" width="9.140625" style="1" customWidth="1"/>
    <col min="16" max="16" width="9.140625" style="2" customWidth="1"/>
    <col min="17" max="17" width="10.42578125" style="2" bestFit="1" customWidth="1"/>
    <col min="18" max="20" width="9.140625" style="2" customWidth="1"/>
    <col min="21" max="26" width="9.140625" style="2"/>
    <col min="27" max="27" width="9.7109375" style="2" bestFit="1" customWidth="1"/>
    <col min="28" max="28" width="9.7109375" style="2" customWidth="1"/>
    <col min="29" max="29" width="10.42578125" style="2" bestFit="1" customWidth="1"/>
    <col min="30" max="34" width="9.7109375" style="2" customWidth="1"/>
    <col min="35" max="35" width="10.42578125" style="2" bestFit="1" customWidth="1"/>
    <col min="36" max="44" width="9.7109375" style="2" customWidth="1"/>
    <col min="47" max="47" width="10.42578125" bestFit="1" customWidth="1"/>
    <col min="50" max="50" width="9.5703125" bestFit="1" customWidth="1"/>
    <col min="52" max="52" width="10.7109375" bestFit="1" customWidth="1"/>
    <col min="53" max="53" width="10.7109375" customWidth="1"/>
    <col min="54" max="54" width="10.7109375" bestFit="1" customWidth="1"/>
    <col min="57" max="57" width="10.7109375" bestFit="1" customWidth="1"/>
    <col min="58" max="59" width="10.7109375" customWidth="1"/>
    <col min="60" max="60" width="9.7109375" bestFit="1" customWidth="1"/>
    <col min="61" max="61" width="9.7109375" customWidth="1"/>
    <col min="62" max="62" width="9.7109375" bestFit="1" customWidth="1"/>
    <col min="63" max="63" width="9.140625" customWidth="1"/>
    <col min="65" max="65" width="9.7109375" bestFit="1" customWidth="1"/>
    <col min="66" max="67" width="9.7109375" customWidth="1"/>
    <col min="69" max="70" width="10.7109375" customWidth="1"/>
    <col min="71" max="71" width="10.42578125" bestFit="1" customWidth="1"/>
  </cols>
  <sheetData>
    <row r="1" spans="1:80" x14ac:dyDescent="0.25">
      <c r="AW1" s="64"/>
      <c r="AX1" s="64">
        <f>(1.2*1.4)-((1.792*0^5)/5+(0.114*0^4)/4+(2.196*1.4^3)/3-(3.077*1.4^2)/2+(0.819*1.4))</f>
        <v>1.540252</v>
      </c>
      <c r="AY1" s="64"/>
      <c r="AZ1" s="47">
        <v>41453</v>
      </c>
      <c r="BA1" s="47"/>
      <c r="BB1" s="102">
        <v>41478</v>
      </c>
      <c r="BC1" s="47">
        <v>41491</v>
      </c>
      <c r="BD1" s="47">
        <v>41495</v>
      </c>
      <c r="BE1" s="47">
        <v>41517</v>
      </c>
      <c r="BF1" s="47"/>
      <c r="BG1" s="47"/>
      <c r="BQ1" s="47"/>
      <c r="BR1" s="47"/>
    </row>
    <row r="2" spans="1:80" ht="15.75" thickBot="1" x14ac:dyDescent="0.3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Z2" s="218" t="s">
        <v>36</v>
      </c>
      <c r="BA2" s="218"/>
      <c r="BB2" s="218"/>
      <c r="BC2" s="218"/>
      <c r="BD2" s="218"/>
      <c r="BE2" s="218"/>
      <c r="BF2" s="200"/>
      <c r="BG2" s="200"/>
      <c r="BH2" s="218" t="s">
        <v>42</v>
      </c>
      <c r="BI2" s="218"/>
      <c r="BJ2" s="218"/>
      <c r="BK2" s="218"/>
      <c r="BL2" s="218"/>
      <c r="BM2" s="218"/>
      <c r="BN2" s="200"/>
      <c r="BO2" s="200"/>
      <c r="BP2" s="3"/>
      <c r="BQ2" s="205"/>
      <c r="BR2" s="205"/>
      <c r="BS2" s="3"/>
      <c r="BT2" s="3"/>
      <c r="BU2" s="3"/>
      <c r="BV2" s="3"/>
      <c r="BW2" s="3"/>
      <c r="BX2" s="3"/>
      <c r="BY2" s="3"/>
      <c r="BZ2" s="3"/>
      <c r="CA2" s="3"/>
      <c r="CB2" s="3"/>
    </row>
    <row r="3" spans="1:80" x14ac:dyDescent="0.25">
      <c r="F3" s="47">
        <v>41453</v>
      </c>
      <c r="J3" s="47">
        <v>41476</v>
      </c>
      <c r="Q3" s="102">
        <v>41478</v>
      </c>
      <c r="T3"/>
      <c r="V3"/>
      <c r="W3" s="47">
        <v>41491</v>
      </c>
      <c r="X3"/>
      <c r="Y3"/>
      <c r="Z3"/>
      <c r="AB3"/>
      <c r="AC3" s="47">
        <v>41499</v>
      </c>
      <c r="AD3"/>
      <c r="AE3"/>
      <c r="AF3"/>
      <c r="AG3"/>
      <c r="AH3"/>
      <c r="AI3" s="47">
        <v>41516</v>
      </c>
      <c r="AJ3"/>
      <c r="AK3"/>
      <c r="AL3"/>
      <c r="AM3"/>
      <c r="AN3"/>
      <c r="AO3" s="47">
        <v>41523</v>
      </c>
      <c r="AP3"/>
      <c r="AQ3"/>
      <c r="AR3"/>
      <c r="AU3" s="47">
        <v>41535</v>
      </c>
      <c r="AZ3" s="103">
        <v>41453</v>
      </c>
      <c r="BA3" s="105">
        <v>41476</v>
      </c>
      <c r="BB3" s="104">
        <v>41478</v>
      </c>
      <c r="BC3" s="105">
        <v>41491</v>
      </c>
      <c r="BD3" s="105">
        <v>41495</v>
      </c>
      <c r="BE3" s="106">
        <v>41516</v>
      </c>
      <c r="BF3" s="105">
        <v>41523</v>
      </c>
      <c r="BG3" s="105">
        <v>41535</v>
      </c>
      <c r="BH3" s="103">
        <v>41453</v>
      </c>
      <c r="BI3" s="105">
        <v>41476</v>
      </c>
      <c r="BJ3" s="104">
        <v>41478</v>
      </c>
      <c r="BK3" s="105">
        <v>41491</v>
      </c>
      <c r="BL3" s="105">
        <v>41495</v>
      </c>
      <c r="BM3" s="105">
        <v>41516</v>
      </c>
      <c r="BN3" s="105">
        <v>41523</v>
      </c>
      <c r="BO3" s="106">
        <v>41535</v>
      </c>
      <c r="BP3" s="1"/>
      <c r="BQ3" s="209">
        <v>41535</v>
      </c>
      <c r="BR3" s="209">
        <v>41535</v>
      </c>
      <c r="BS3" s="209">
        <v>41535</v>
      </c>
      <c r="BT3" t="s">
        <v>50</v>
      </c>
      <c r="BU3" t="s">
        <v>42</v>
      </c>
      <c r="BV3" t="s">
        <v>54</v>
      </c>
      <c r="BW3" t="s">
        <v>55</v>
      </c>
      <c r="BX3" t="s">
        <v>59</v>
      </c>
    </row>
    <row r="4" spans="1:80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 t="s">
        <v>3</v>
      </c>
      <c r="AH4" s="4" t="s">
        <v>4</v>
      </c>
      <c r="AI4" s="4" t="s">
        <v>5</v>
      </c>
      <c r="AJ4" s="4" t="s">
        <v>6</v>
      </c>
      <c r="AK4" s="4" t="s">
        <v>7</v>
      </c>
      <c r="AL4" s="4" t="s">
        <v>8</v>
      </c>
      <c r="AM4" s="4" t="s">
        <v>3</v>
      </c>
      <c r="AN4" s="4" t="s">
        <v>4</v>
      </c>
      <c r="AO4" s="4" t="s">
        <v>5</v>
      </c>
      <c r="AP4" s="4" t="s">
        <v>6</v>
      </c>
      <c r="AQ4" s="4" t="s">
        <v>7</v>
      </c>
      <c r="AR4" s="4" t="s">
        <v>8</v>
      </c>
      <c r="AS4" s="4" t="s">
        <v>3</v>
      </c>
      <c r="AT4" s="4" t="s">
        <v>4</v>
      </c>
      <c r="AU4" s="4" t="s">
        <v>5</v>
      </c>
      <c r="AV4" s="4" t="s">
        <v>6</v>
      </c>
      <c r="AW4" s="4" t="s">
        <v>7</v>
      </c>
      <c r="AX4" s="4" t="s">
        <v>8</v>
      </c>
      <c r="AY4" s="4"/>
      <c r="AZ4" s="70" t="s">
        <v>31</v>
      </c>
      <c r="BA4" s="70" t="s">
        <v>32</v>
      </c>
      <c r="BB4" s="70" t="s">
        <v>33</v>
      </c>
      <c r="BC4" s="70" t="s">
        <v>34</v>
      </c>
      <c r="BD4" s="70" t="s">
        <v>35</v>
      </c>
      <c r="BE4" s="70" t="s">
        <v>44</v>
      </c>
      <c r="BF4" s="70" t="s">
        <v>171</v>
      </c>
      <c r="BG4" s="70" t="s">
        <v>172</v>
      </c>
      <c r="BH4" s="70" t="s">
        <v>37</v>
      </c>
      <c r="BI4" s="71" t="s">
        <v>38</v>
      </c>
      <c r="BJ4" s="71" t="s">
        <v>39</v>
      </c>
      <c r="BK4" s="71" t="s">
        <v>40</v>
      </c>
      <c r="BL4" s="71" t="s">
        <v>41</v>
      </c>
      <c r="BM4" s="71" t="s">
        <v>45</v>
      </c>
      <c r="BN4" s="71" t="s">
        <v>173</v>
      </c>
      <c r="BO4" s="72" t="s">
        <v>174</v>
      </c>
      <c r="BQ4" s="207" t="s">
        <v>10</v>
      </c>
      <c r="BR4" s="207" t="s">
        <v>12</v>
      </c>
      <c r="BS4" s="210"/>
      <c r="BT4">
        <v>0</v>
      </c>
      <c r="BV4">
        <v>-5.0999999999999996</v>
      </c>
      <c r="BW4">
        <v>11.5</v>
      </c>
    </row>
    <row r="5" spans="1:80" x14ac:dyDescent="0.25">
      <c r="A5" s="219" t="s">
        <v>9</v>
      </c>
      <c r="B5" s="5" t="s">
        <v>10</v>
      </c>
      <c r="C5" s="6">
        <v>0</v>
      </c>
      <c r="D5" s="7">
        <v>0.4</v>
      </c>
      <c r="E5" s="7">
        <v>3</v>
      </c>
      <c r="F5" s="7">
        <v>4.3</v>
      </c>
      <c r="G5" s="7">
        <v>6.8</v>
      </c>
      <c r="H5" s="8">
        <v>6.9</v>
      </c>
      <c r="I5" s="6">
        <v>0</v>
      </c>
      <c r="J5" s="7">
        <v>0.4</v>
      </c>
      <c r="K5" s="7">
        <v>3.6</v>
      </c>
      <c r="L5" s="7">
        <v>4.3</v>
      </c>
      <c r="M5" s="7">
        <v>7</v>
      </c>
      <c r="N5" s="8">
        <v>7.2</v>
      </c>
      <c r="O5" s="6">
        <v>0</v>
      </c>
      <c r="P5" s="7">
        <v>0.6</v>
      </c>
      <c r="Q5" s="7">
        <v>4.2</v>
      </c>
      <c r="R5" s="7">
        <v>5.3</v>
      </c>
      <c r="S5" s="7">
        <v>8.6</v>
      </c>
      <c r="T5" s="9">
        <v>8.8000000000000007</v>
      </c>
      <c r="U5" s="6">
        <v>0</v>
      </c>
      <c r="V5" s="7">
        <v>0.5</v>
      </c>
      <c r="W5" s="7">
        <v>4.8</v>
      </c>
      <c r="X5" s="7">
        <v>5.5</v>
      </c>
      <c r="Y5" s="7">
        <v>9.8000000000000007</v>
      </c>
      <c r="Z5" s="9">
        <v>9.9</v>
      </c>
      <c r="AA5" s="6">
        <v>0</v>
      </c>
      <c r="AB5" s="7">
        <v>0.35</v>
      </c>
      <c r="AC5" s="7">
        <v>4.8</v>
      </c>
      <c r="AD5" s="7">
        <v>5.6</v>
      </c>
      <c r="AE5" s="7">
        <v>10</v>
      </c>
      <c r="AF5" s="9">
        <v>10.4</v>
      </c>
      <c r="AG5" s="36">
        <v>0</v>
      </c>
      <c r="AH5" s="36">
        <v>0.35</v>
      </c>
      <c r="AI5" s="36">
        <v>4.8</v>
      </c>
      <c r="AJ5" s="36">
        <v>5.6</v>
      </c>
      <c r="AK5" s="36">
        <v>10</v>
      </c>
      <c r="AL5" s="36">
        <v>10.4</v>
      </c>
      <c r="AM5" s="10">
        <v>0</v>
      </c>
      <c r="AN5" s="10">
        <v>0.4</v>
      </c>
      <c r="AO5" s="10">
        <v>4.7</v>
      </c>
      <c r="AP5" s="10">
        <v>6</v>
      </c>
      <c r="AQ5" s="10">
        <v>11</v>
      </c>
      <c r="AR5" s="11">
        <v>11.5</v>
      </c>
      <c r="AS5" s="10">
        <v>0</v>
      </c>
      <c r="AT5" s="10">
        <v>0.4</v>
      </c>
      <c r="AU5" s="10">
        <v>4.7</v>
      </c>
      <c r="AV5" s="10">
        <v>6</v>
      </c>
      <c r="AW5" s="10">
        <v>11</v>
      </c>
      <c r="AX5" s="11">
        <v>11.5</v>
      </c>
      <c r="AY5" s="16" t="s">
        <v>9</v>
      </c>
      <c r="AZ5" s="73">
        <f>AZ33</f>
        <v>18.59</v>
      </c>
      <c r="BA5" s="73">
        <f t="shared" ref="BA5:BG5" si="0">BA33</f>
        <v>18.285</v>
      </c>
      <c r="BB5" s="73">
        <f t="shared" si="0"/>
        <v>26.704999999999998</v>
      </c>
      <c r="BC5" s="73">
        <f t="shared" si="0"/>
        <v>27.28</v>
      </c>
      <c r="BD5" s="73">
        <f t="shared" si="0"/>
        <v>30.522500000000004</v>
      </c>
      <c r="BE5" s="73">
        <f t="shared" si="0"/>
        <v>30.522500000000004</v>
      </c>
      <c r="BF5" s="73">
        <f t="shared" si="0"/>
        <v>32.384999999999991</v>
      </c>
      <c r="BG5" s="73">
        <f t="shared" si="0"/>
        <v>32.384999999999991</v>
      </c>
      <c r="BH5" s="78"/>
      <c r="BI5" s="49"/>
      <c r="BJ5" s="49"/>
      <c r="BK5" s="49"/>
      <c r="BL5" s="49"/>
      <c r="BM5" s="49"/>
      <c r="BN5" s="49"/>
      <c r="BO5" s="81"/>
      <c r="BP5" t="s">
        <v>9</v>
      </c>
      <c r="BQ5" s="208">
        <f>AX5</f>
        <v>11.5</v>
      </c>
      <c r="BR5" s="208">
        <f>AS7</f>
        <v>0</v>
      </c>
      <c r="BS5" s="210"/>
      <c r="BT5">
        <v>2.4</v>
      </c>
      <c r="BU5" s="100">
        <f>BM6</f>
        <v>77.034000000000006</v>
      </c>
      <c r="BV5">
        <v>-5.0999999999999996</v>
      </c>
      <c r="BW5">
        <v>11.6</v>
      </c>
    </row>
    <row r="6" spans="1:80" x14ac:dyDescent="0.25">
      <c r="A6" s="220"/>
      <c r="B6" s="12" t="s">
        <v>11</v>
      </c>
      <c r="C6" s="13">
        <v>4</v>
      </c>
      <c r="D6" s="14">
        <v>3</v>
      </c>
      <c r="E6" s="14">
        <v>0</v>
      </c>
      <c r="F6" s="14">
        <v>0</v>
      </c>
      <c r="G6" s="14">
        <v>2.7</v>
      </c>
      <c r="H6" s="15">
        <v>4</v>
      </c>
      <c r="I6" s="13">
        <v>4</v>
      </c>
      <c r="J6" s="14">
        <v>3</v>
      </c>
      <c r="K6" s="14">
        <v>0</v>
      </c>
      <c r="L6" s="14">
        <v>0</v>
      </c>
      <c r="M6" s="14">
        <v>2.7</v>
      </c>
      <c r="N6" s="15">
        <v>4</v>
      </c>
      <c r="O6" s="13">
        <v>4.8</v>
      </c>
      <c r="P6" s="14">
        <v>3.4</v>
      </c>
      <c r="Q6" s="14">
        <v>0</v>
      </c>
      <c r="R6" s="14">
        <v>0</v>
      </c>
      <c r="S6" s="14">
        <v>3.7</v>
      </c>
      <c r="T6" s="15">
        <v>4.8</v>
      </c>
      <c r="U6" s="13">
        <v>5</v>
      </c>
      <c r="V6" s="14">
        <v>4.5999999999999996</v>
      </c>
      <c r="W6" s="14">
        <v>0</v>
      </c>
      <c r="X6" s="14">
        <v>0</v>
      </c>
      <c r="Y6" s="14">
        <v>4.4000000000000004</v>
      </c>
      <c r="Z6" s="15">
        <v>5</v>
      </c>
      <c r="AA6" s="13">
        <v>4.9000000000000004</v>
      </c>
      <c r="AB6" s="14">
        <v>4</v>
      </c>
      <c r="AC6" s="14">
        <v>0</v>
      </c>
      <c r="AD6" s="14">
        <v>0</v>
      </c>
      <c r="AE6" s="14">
        <v>3.75</v>
      </c>
      <c r="AF6" s="15">
        <v>4.9000000000000004</v>
      </c>
      <c r="AG6" s="14">
        <v>4.9000000000000004</v>
      </c>
      <c r="AH6" s="14">
        <v>4</v>
      </c>
      <c r="AI6" s="14">
        <v>0</v>
      </c>
      <c r="AJ6" s="14">
        <v>0</v>
      </c>
      <c r="AK6" s="14">
        <v>3.75</v>
      </c>
      <c r="AL6" s="14">
        <v>4.9000000000000004</v>
      </c>
      <c r="AM6" s="16">
        <v>5.0999999999999996</v>
      </c>
      <c r="AN6" s="16">
        <v>4.7</v>
      </c>
      <c r="AO6" s="16">
        <v>0</v>
      </c>
      <c r="AP6" s="16">
        <v>0</v>
      </c>
      <c r="AQ6" s="16">
        <v>4.7</v>
      </c>
      <c r="AR6" s="17">
        <v>5.0999999999999996</v>
      </c>
      <c r="AS6" s="16">
        <v>5.0999999999999996</v>
      </c>
      <c r="AT6" s="16">
        <v>4.7</v>
      </c>
      <c r="AU6" s="16">
        <v>0</v>
      </c>
      <c r="AV6" s="16">
        <v>0</v>
      </c>
      <c r="AW6" s="16">
        <v>4.7</v>
      </c>
      <c r="AX6" s="17">
        <v>5.0999999999999996</v>
      </c>
      <c r="AY6" s="16" t="s">
        <v>13</v>
      </c>
      <c r="AZ6" s="73">
        <f>AZ34</f>
        <v>24.114999999999995</v>
      </c>
      <c r="BA6" s="73">
        <f t="shared" ref="BA6:BG6" si="1">BA34</f>
        <v>24.114999999999995</v>
      </c>
      <c r="BB6" s="73">
        <f t="shared" si="1"/>
        <v>29.473500000000001</v>
      </c>
      <c r="BC6" s="73">
        <f t="shared" si="1"/>
        <v>31.552</v>
      </c>
      <c r="BD6" s="73">
        <f t="shared" si="1"/>
        <v>33.672499999999999</v>
      </c>
      <c r="BE6" s="73">
        <f t="shared" si="1"/>
        <v>33.672499999999999</v>
      </c>
      <c r="BF6" s="73">
        <f t="shared" si="1"/>
        <v>45.744999999999997</v>
      </c>
      <c r="BG6" s="73">
        <f t="shared" si="1"/>
        <v>45.744999999999997</v>
      </c>
      <c r="BH6" s="73">
        <f t="shared" ref="BH6:BM6" si="2">(AZ5+AZ6)/2*$AS$10</f>
        <v>51.245999999999995</v>
      </c>
      <c r="BI6" s="73">
        <f t="shared" si="2"/>
        <v>50.879999999999988</v>
      </c>
      <c r="BJ6" s="82">
        <f t="shared" si="2"/>
        <v>67.414199999999994</v>
      </c>
      <c r="BK6" s="82">
        <f t="shared" si="2"/>
        <v>70.598399999999998</v>
      </c>
      <c r="BL6" s="82">
        <f t="shared" si="2"/>
        <v>77.034000000000006</v>
      </c>
      <c r="BM6" s="82">
        <f t="shared" si="2"/>
        <v>77.034000000000006</v>
      </c>
      <c r="BN6" s="82">
        <f t="shared" ref="BN6:BO6" si="3">(BF5+BF6)/2*$AS$10</f>
        <v>93.755999999999986</v>
      </c>
      <c r="BO6" s="82">
        <f t="shared" si="3"/>
        <v>93.755999999999986</v>
      </c>
      <c r="BP6" t="s">
        <v>13</v>
      </c>
      <c r="BQ6" s="208">
        <f>AX8</f>
        <v>11.6</v>
      </c>
      <c r="BR6" s="208">
        <f>AS10</f>
        <v>2.4</v>
      </c>
      <c r="BS6" s="210">
        <f>BR6*(BQ5+BQ6)/2</f>
        <v>27.720000000000002</v>
      </c>
      <c r="BT6">
        <v>4.9000000000000004</v>
      </c>
      <c r="BU6" s="100">
        <f t="shared" ref="BU6:BU12" si="4">BM7</f>
        <v>79.171875</v>
      </c>
      <c r="BV6">
        <v>-4.7</v>
      </c>
      <c r="BW6">
        <v>9</v>
      </c>
      <c r="BX6">
        <v>-2.0099999999999998</v>
      </c>
    </row>
    <row r="7" spans="1:80" ht="15.75" thickBot="1" x14ac:dyDescent="0.3">
      <c r="A7" s="221"/>
      <c r="B7" s="18" t="s">
        <v>12</v>
      </c>
      <c r="C7" s="19"/>
      <c r="D7" s="20"/>
      <c r="E7" s="20"/>
      <c r="F7" s="20"/>
      <c r="G7" s="20"/>
      <c r="H7" s="21"/>
      <c r="I7" s="19"/>
      <c r="J7" s="20"/>
      <c r="K7" s="20"/>
      <c r="L7" s="20"/>
      <c r="M7" s="20"/>
      <c r="N7" s="21"/>
      <c r="O7" s="22"/>
      <c r="P7" s="23"/>
      <c r="Q7" s="23"/>
      <c r="R7" s="23"/>
      <c r="S7" s="23"/>
      <c r="T7" s="24"/>
      <c r="U7" s="22"/>
      <c r="V7" s="23"/>
      <c r="W7" s="23"/>
      <c r="X7" s="23"/>
      <c r="Y7" s="23"/>
      <c r="Z7" s="24"/>
      <c r="AA7" s="22"/>
      <c r="AB7" s="23"/>
      <c r="AC7" s="23"/>
      <c r="AD7" s="23"/>
      <c r="AE7" s="23"/>
      <c r="AF7" s="24"/>
      <c r="AG7" s="23"/>
      <c r="AH7" s="23"/>
      <c r="AI7" s="23"/>
      <c r="AJ7" s="23"/>
      <c r="AK7" s="23"/>
      <c r="AL7" s="23"/>
      <c r="AM7" s="25">
        <v>0</v>
      </c>
      <c r="AN7" s="25"/>
      <c r="AO7" s="25"/>
      <c r="AP7" s="25"/>
      <c r="AQ7" s="25"/>
      <c r="AR7" s="26"/>
      <c r="AS7" s="25">
        <v>0</v>
      </c>
      <c r="AT7" s="25"/>
      <c r="AU7" s="25"/>
      <c r="AV7" s="25"/>
      <c r="AW7" s="25"/>
      <c r="AX7" s="26"/>
      <c r="AY7" s="16" t="s">
        <v>14</v>
      </c>
      <c r="AZ7" s="73">
        <f>AZ35</f>
        <v>20.65</v>
      </c>
      <c r="BA7" s="73">
        <f t="shared" ref="BA7:BG7" si="5">BA35</f>
        <v>20.65</v>
      </c>
      <c r="BB7" s="73">
        <f t="shared" si="5"/>
        <v>25.549999999999997</v>
      </c>
      <c r="BC7" s="73">
        <f t="shared" si="5"/>
        <v>28.520000000000003</v>
      </c>
      <c r="BD7" s="73">
        <f t="shared" si="5"/>
        <v>29.665000000000003</v>
      </c>
      <c r="BE7" s="73">
        <f t="shared" si="5"/>
        <v>29.665000000000003</v>
      </c>
      <c r="BF7" s="73">
        <f t="shared" si="5"/>
        <v>29.460000000000004</v>
      </c>
      <c r="BG7" s="73">
        <f t="shared" si="5"/>
        <v>29.460000000000004</v>
      </c>
      <c r="BH7" s="73">
        <f t="shared" ref="BH7:BM7" si="6">(AZ6+AZ7)/2*$AS$13</f>
        <v>55.95624999999999</v>
      </c>
      <c r="BI7" s="73">
        <f t="shared" si="6"/>
        <v>55.95624999999999</v>
      </c>
      <c r="BJ7" s="82">
        <f t="shared" si="6"/>
        <v>68.779375000000002</v>
      </c>
      <c r="BK7" s="82">
        <f t="shared" si="6"/>
        <v>75.09</v>
      </c>
      <c r="BL7" s="82">
        <f t="shared" si="6"/>
        <v>79.171875</v>
      </c>
      <c r="BM7" s="82">
        <f t="shared" si="6"/>
        <v>79.171875</v>
      </c>
      <c r="BN7" s="82">
        <f t="shared" ref="BN7:BO7" si="7">(BF6+BF7)/2*$AS$13</f>
        <v>94.006249999999994</v>
      </c>
      <c r="BO7" s="82">
        <f t="shared" si="7"/>
        <v>94.006249999999994</v>
      </c>
      <c r="BP7" t="s">
        <v>14</v>
      </c>
      <c r="BQ7" s="208">
        <f>AX11</f>
        <v>9</v>
      </c>
      <c r="BR7" s="208">
        <f>AS13</f>
        <v>2.5</v>
      </c>
      <c r="BS7" s="210">
        <f t="shared" ref="BS7:BS13" si="8">BR7*(BQ6+BQ7)/2</f>
        <v>25.75</v>
      </c>
      <c r="BT7">
        <v>7.4</v>
      </c>
      <c r="BU7" s="100">
        <f t="shared" si="4"/>
        <v>79.556249999999991</v>
      </c>
      <c r="BV7">
        <v>-4.7</v>
      </c>
      <c r="BW7">
        <v>12</v>
      </c>
      <c r="BX7">
        <v>-2.42</v>
      </c>
    </row>
    <row r="8" spans="1:80" x14ac:dyDescent="0.25">
      <c r="A8" s="219" t="s">
        <v>13</v>
      </c>
      <c r="B8" s="12" t="s">
        <v>10</v>
      </c>
      <c r="C8" s="27">
        <v>0</v>
      </c>
      <c r="D8" s="28">
        <v>0.3</v>
      </c>
      <c r="E8" s="28">
        <v>4</v>
      </c>
      <c r="F8" s="28">
        <v>6</v>
      </c>
      <c r="G8" s="28">
        <v>8.4</v>
      </c>
      <c r="H8" s="29">
        <v>8.4</v>
      </c>
      <c r="I8" s="27">
        <v>0</v>
      </c>
      <c r="J8" s="200">
        <v>0.3</v>
      </c>
      <c r="K8" s="200">
        <v>4</v>
      </c>
      <c r="L8" s="200">
        <v>6</v>
      </c>
      <c r="M8" s="200">
        <v>8.4</v>
      </c>
      <c r="N8" s="29">
        <v>8.4</v>
      </c>
      <c r="O8" s="30">
        <v>0</v>
      </c>
      <c r="P8" s="31">
        <v>0.2</v>
      </c>
      <c r="Q8" s="31">
        <v>4</v>
      </c>
      <c r="R8" s="31">
        <v>6.2</v>
      </c>
      <c r="S8" s="31">
        <v>8.83</v>
      </c>
      <c r="T8" s="32">
        <v>8.58</v>
      </c>
      <c r="U8" s="30">
        <v>0</v>
      </c>
      <c r="V8" s="31">
        <v>0.25</v>
      </c>
      <c r="W8" s="31">
        <v>4.8</v>
      </c>
      <c r="X8" s="31">
        <v>7</v>
      </c>
      <c r="Y8" s="31">
        <v>10</v>
      </c>
      <c r="Z8" s="32">
        <v>10.18</v>
      </c>
      <c r="AA8" s="30">
        <v>0</v>
      </c>
      <c r="AB8" s="31">
        <v>0.4</v>
      </c>
      <c r="AC8" s="31">
        <v>4.8</v>
      </c>
      <c r="AD8" s="31">
        <v>7</v>
      </c>
      <c r="AE8" s="31">
        <v>10</v>
      </c>
      <c r="AF8" s="32">
        <v>10.25</v>
      </c>
      <c r="AG8" s="31">
        <v>0</v>
      </c>
      <c r="AH8" s="31">
        <v>0.4</v>
      </c>
      <c r="AI8" s="31">
        <v>4.8</v>
      </c>
      <c r="AJ8" s="31">
        <v>7</v>
      </c>
      <c r="AK8" s="31">
        <v>10</v>
      </c>
      <c r="AL8" s="31">
        <v>10.25</v>
      </c>
      <c r="AM8" s="16">
        <v>0</v>
      </c>
      <c r="AN8" s="200">
        <v>0.3</v>
      </c>
      <c r="AO8" s="200">
        <v>5</v>
      </c>
      <c r="AP8" s="200">
        <v>7.2</v>
      </c>
      <c r="AQ8" s="200">
        <v>11.4</v>
      </c>
      <c r="AR8" s="29">
        <v>11.6</v>
      </c>
      <c r="AS8" s="16">
        <v>0</v>
      </c>
      <c r="AT8" s="28">
        <v>0.3</v>
      </c>
      <c r="AU8" s="28">
        <v>5</v>
      </c>
      <c r="AV8" s="28">
        <v>7.2</v>
      </c>
      <c r="AW8" s="28">
        <v>11.4</v>
      </c>
      <c r="AX8" s="29">
        <v>11.6</v>
      </c>
      <c r="AY8" s="16" t="s">
        <v>15</v>
      </c>
      <c r="AZ8" s="73">
        <f>AZ36</f>
        <v>10.86</v>
      </c>
      <c r="BA8" s="73">
        <f t="shared" ref="BA8:BG8" si="9">BA36</f>
        <v>15.580000000000002</v>
      </c>
      <c r="BB8" s="73">
        <f t="shared" si="9"/>
        <v>22.347000000000001</v>
      </c>
      <c r="BC8" s="73">
        <f t="shared" si="9"/>
        <v>26.810000000000002</v>
      </c>
      <c r="BD8" s="73">
        <f t="shared" si="9"/>
        <v>33.979999999999997</v>
      </c>
      <c r="BE8" s="73">
        <f t="shared" si="9"/>
        <v>33.979999999999997</v>
      </c>
      <c r="BF8" s="73">
        <f t="shared" si="9"/>
        <v>35.960000000000008</v>
      </c>
      <c r="BG8" s="73">
        <f t="shared" si="9"/>
        <v>35.960000000000008</v>
      </c>
      <c r="BH8" s="73">
        <f t="shared" ref="BH8:BM8" si="10">(AZ7+AZ8)/2*$AS$16</f>
        <v>39.387499999999996</v>
      </c>
      <c r="BI8" s="73">
        <f t="shared" si="10"/>
        <v>45.287500000000009</v>
      </c>
      <c r="BJ8" s="82">
        <f t="shared" si="10"/>
        <v>59.871249999999996</v>
      </c>
      <c r="BK8" s="82">
        <f t="shared" si="10"/>
        <v>69.162500000000009</v>
      </c>
      <c r="BL8" s="82">
        <f t="shared" si="10"/>
        <v>79.556249999999991</v>
      </c>
      <c r="BM8" s="82">
        <f t="shared" si="10"/>
        <v>79.556249999999991</v>
      </c>
      <c r="BN8" s="82">
        <f t="shared" ref="BN8:BO8" si="11">(BF7+BF8)/2*$AS$16</f>
        <v>81.77500000000002</v>
      </c>
      <c r="BO8" s="82">
        <f t="shared" si="11"/>
        <v>81.77500000000002</v>
      </c>
      <c r="BP8" t="s">
        <v>15</v>
      </c>
      <c r="BQ8" s="208">
        <f>AX14</f>
        <v>12</v>
      </c>
      <c r="BR8" s="208">
        <f>AS13</f>
        <v>2.5</v>
      </c>
      <c r="BS8" s="210">
        <f t="shared" si="8"/>
        <v>26.25</v>
      </c>
      <c r="BT8">
        <v>15.4</v>
      </c>
      <c r="BU8" s="100">
        <f t="shared" si="4"/>
        <v>257.702</v>
      </c>
      <c r="BV8">
        <v>-3.7</v>
      </c>
      <c r="BW8">
        <v>12</v>
      </c>
    </row>
    <row r="9" spans="1:80" x14ac:dyDescent="0.25">
      <c r="A9" s="220"/>
      <c r="B9" s="12" t="s">
        <v>11</v>
      </c>
      <c r="C9" s="30">
        <v>4.3</v>
      </c>
      <c r="D9" s="31">
        <v>4</v>
      </c>
      <c r="E9" s="31">
        <v>0</v>
      </c>
      <c r="F9" s="31">
        <v>0</v>
      </c>
      <c r="G9" s="31">
        <v>2.8</v>
      </c>
      <c r="H9" s="32">
        <v>4.3</v>
      </c>
      <c r="I9" s="30">
        <v>4.3</v>
      </c>
      <c r="J9" s="31">
        <v>4</v>
      </c>
      <c r="K9" s="31">
        <v>0</v>
      </c>
      <c r="L9" s="31">
        <v>0</v>
      </c>
      <c r="M9" s="31">
        <v>2.8</v>
      </c>
      <c r="N9" s="32">
        <v>4.3</v>
      </c>
      <c r="O9" s="30">
        <v>4.7</v>
      </c>
      <c r="P9" s="31">
        <v>3.7</v>
      </c>
      <c r="Q9" s="31">
        <v>0</v>
      </c>
      <c r="R9" s="31">
        <v>0</v>
      </c>
      <c r="S9" s="31">
        <v>3</v>
      </c>
      <c r="T9" s="32">
        <v>4.7</v>
      </c>
      <c r="U9" s="30">
        <v>5</v>
      </c>
      <c r="V9" s="31">
        <v>4.5</v>
      </c>
      <c r="W9" s="31">
        <v>0</v>
      </c>
      <c r="X9" s="31">
        <v>0</v>
      </c>
      <c r="Y9" s="31">
        <v>4.7</v>
      </c>
      <c r="Z9" s="32">
        <v>5</v>
      </c>
      <c r="AA9" s="30">
        <v>5</v>
      </c>
      <c r="AB9" s="31">
        <v>3.6</v>
      </c>
      <c r="AC9" s="31">
        <v>0</v>
      </c>
      <c r="AD9" s="31">
        <v>0</v>
      </c>
      <c r="AE9" s="31">
        <v>4.5</v>
      </c>
      <c r="AF9" s="32">
        <v>5</v>
      </c>
      <c r="AG9" s="31">
        <v>5</v>
      </c>
      <c r="AH9" s="31">
        <v>3.6</v>
      </c>
      <c r="AI9" s="31">
        <v>0</v>
      </c>
      <c r="AJ9" s="31">
        <v>0</v>
      </c>
      <c r="AK9" s="31">
        <v>4.5</v>
      </c>
      <c r="AL9" s="31">
        <v>5</v>
      </c>
      <c r="AM9" s="16">
        <v>5.0999999999999996</v>
      </c>
      <c r="AN9" s="200">
        <v>1.6</v>
      </c>
      <c r="AO9" s="200">
        <v>0</v>
      </c>
      <c r="AP9" s="200">
        <v>0</v>
      </c>
      <c r="AQ9" s="200">
        <v>3.7</v>
      </c>
      <c r="AR9" s="29">
        <v>5.0999999999999996</v>
      </c>
      <c r="AS9" s="16">
        <v>5.0999999999999996</v>
      </c>
      <c r="AT9" s="28">
        <v>1.6</v>
      </c>
      <c r="AU9" s="28">
        <v>0</v>
      </c>
      <c r="AV9" s="28">
        <v>0</v>
      </c>
      <c r="AW9" s="28">
        <v>3.7</v>
      </c>
      <c r="AX9" s="29">
        <v>5.0999999999999996</v>
      </c>
      <c r="AY9" s="16" t="s">
        <v>16</v>
      </c>
      <c r="AZ9" s="73">
        <f>AZ37</f>
        <v>6.27</v>
      </c>
      <c r="BA9" s="73">
        <f t="shared" ref="BA9:BG10" si="12">BA37</f>
        <v>8.64</v>
      </c>
      <c r="BB9" s="73">
        <f t="shared" si="12"/>
        <v>14.225000000000001</v>
      </c>
      <c r="BC9" s="73">
        <f t="shared" si="12"/>
        <v>23.150000000000002</v>
      </c>
      <c r="BD9" s="73">
        <f t="shared" si="12"/>
        <v>30.445499999999996</v>
      </c>
      <c r="BE9" s="73">
        <f t="shared" si="12"/>
        <v>30.445499999999996</v>
      </c>
      <c r="BF9" s="73">
        <f t="shared" si="12"/>
        <v>29.885000000000002</v>
      </c>
      <c r="BG9" s="73">
        <f t="shared" si="12"/>
        <v>29.885000000000002</v>
      </c>
      <c r="BH9" s="73">
        <f t="shared" ref="BH9:BM9" si="13">(AZ8+AZ9)/2*$AS$19</f>
        <v>68.52</v>
      </c>
      <c r="BI9" s="73">
        <f t="shared" si="13"/>
        <v>96.88000000000001</v>
      </c>
      <c r="BJ9" s="82">
        <f t="shared" si="13"/>
        <v>146.28800000000001</v>
      </c>
      <c r="BK9" s="82">
        <f t="shared" si="13"/>
        <v>199.84000000000003</v>
      </c>
      <c r="BL9" s="82">
        <f t="shared" si="13"/>
        <v>257.702</v>
      </c>
      <c r="BM9" s="82">
        <f t="shared" si="13"/>
        <v>257.702</v>
      </c>
      <c r="BN9" s="82">
        <f t="shared" ref="BN9:BO9" si="14">(BF8+BF9)/2*$AS$19</f>
        <v>263.38000000000005</v>
      </c>
      <c r="BO9" s="82">
        <f t="shared" si="14"/>
        <v>263.38000000000005</v>
      </c>
      <c r="BP9" t="s">
        <v>16</v>
      </c>
      <c r="BQ9" s="208">
        <f>AX17</f>
        <v>12</v>
      </c>
      <c r="BR9" s="208">
        <f>AS19</f>
        <v>8</v>
      </c>
      <c r="BS9" s="210">
        <f t="shared" si="8"/>
        <v>96</v>
      </c>
      <c r="BT9">
        <v>20.8</v>
      </c>
      <c r="BU9" s="100">
        <f t="shared" si="4"/>
        <v>95.621849999999995</v>
      </c>
      <c r="BV9">
        <v>-1.6</v>
      </c>
      <c r="BW9">
        <v>5.7</v>
      </c>
    </row>
    <row r="10" spans="1:80" ht="15.75" thickBot="1" x14ac:dyDescent="0.3">
      <c r="A10" s="221"/>
      <c r="B10" s="12" t="s">
        <v>12</v>
      </c>
      <c r="C10" s="27">
        <v>2.4</v>
      </c>
      <c r="D10" s="28"/>
      <c r="E10" s="28"/>
      <c r="F10" s="28"/>
      <c r="G10" s="28"/>
      <c r="H10" s="29"/>
      <c r="I10" s="27">
        <v>2.4</v>
      </c>
      <c r="J10" s="200"/>
      <c r="K10" s="200"/>
      <c r="L10" s="200"/>
      <c r="M10" s="200"/>
      <c r="N10" s="29"/>
      <c r="O10" s="30"/>
      <c r="P10" s="31"/>
      <c r="Q10" s="31"/>
      <c r="R10" s="31"/>
      <c r="S10" s="31"/>
      <c r="T10" s="32"/>
      <c r="U10" s="30"/>
      <c r="V10" s="31"/>
      <c r="W10" s="31"/>
      <c r="X10" s="31"/>
      <c r="Y10" s="31"/>
      <c r="Z10" s="32"/>
      <c r="AA10" s="30"/>
      <c r="AB10" s="31"/>
      <c r="AC10" s="31"/>
      <c r="AD10" s="31"/>
      <c r="AE10" s="31"/>
      <c r="AF10" s="32"/>
      <c r="AG10" s="31"/>
      <c r="AH10" s="31"/>
      <c r="AI10" s="31"/>
      <c r="AJ10" s="31"/>
      <c r="AK10" s="31"/>
      <c r="AL10" s="31"/>
      <c r="AM10" s="16">
        <v>2.4</v>
      </c>
      <c r="AN10" s="200"/>
      <c r="AO10" s="200"/>
      <c r="AP10" s="200"/>
      <c r="AQ10" s="200"/>
      <c r="AR10" s="29"/>
      <c r="AS10" s="16">
        <v>2.4</v>
      </c>
      <c r="AT10" s="28"/>
      <c r="AU10" s="28"/>
      <c r="AV10" s="28"/>
      <c r="AW10" s="28"/>
      <c r="AX10" s="29"/>
      <c r="AY10" s="16" t="s">
        <v>17</v>
      </c>
      <c r="AZ10" s="188"/>
      <c r="BA10" s="188"/>
      <c r="BB10" s="73">
        <f t="shared" si="12"/>
        <v>2.79</v>
      </c>
      <c r="BC10" s="73">
        <f t="shared" si="12"/>
        <v>4.54</v>
      </c>
      <c r="BD10" s="73">
        <f t="shared" ref="BD10" si="15">BD38</f>
        <v>4.9700000000000006</v>
      </c>
      <c r="BE10" s="73">
        <f t="shared" ref="BE10:BG10" si="16">BE38</f>
        <v>4.9700000000000006</v>
      </c>
      <c r="BF10" s="73">
        <f t="shared" si="16"/>
        <v>7.4550000000000001</v>
      </c>
      <c r="BG10" s="73">
        <f t="shared" si="16"/>
        <v>7.4550000000000001</v>
      </c>
      <c r="BH10" s="54"/>
      <c r="BI10" s="3"/>
      <c r="BJ10" s="82">
        <f>(BB9+BB10)/2*$AS$22</f>
        <v>45.940500000000007</v>
      </c>
      <c r="BK10" s="82">
        <f>(BC9+BC10)/2*$AS$22</f>
        <v>74.763000000000005</v>
      </c>
      <c r="BL10" s="82">
        <f>(BD9+BD10)/2*$AS$22</f>
        <v>95.621849999999995</v>
      </c>
      <c r="BM10" s="82">
        <f>(BE9+BE10)/2*$AS$22</f>
        <v>95.621849999999995</v>
      </c>
      <c r="BN10" s="82">
        <f t="shared" ref="BN10:BO10" si="17">(BF9+BF10)/2*$AS$22</f>
        <v>100.81800000000001</v>
      </c>
      <c r="BO10" s="82">
        <f t="shared" si="17"/>
        <v>100.81800000000001</v>
      </c>
      <c r="BP10" t="s">
        <v>17</v>
      </c>
      <c r="BQ10" s="208">
        <f>AX20</f>
        <v>5.7</v>
      </c>
      <c r="BR10" s="208">
        <f>AS22</f>
        <v>5.4</v>
      </c>
      <c r="BS10" s="210">
        <f t="shared" si="8"/>
        <v>47.79</v>
      </c>
      <c r="BT10">
        <v>30.8</v>
      </c>
      <c r="BU10" s="100">
        <f t="shared" si="4"/>
        <v>43.3</v>
      </c>
      <c r="BV10">
        <v>-1.7</v>
      </c>
      <c r="BW10">
        <v>3.2</v>
      </c>
      <c r="BX10">
        <v>-2.5099999999999998</v>
      </c>
    </row>
    <row r="11" spans="1:80" x14ac:dyDescent="0.25">
      <c r="A11" s="219" t="s">
        <v>14</v>
      </c>
      <c r="B11" s="5" t="s">
        <v>10</v>
      </c>
      <c r="C11" s="33">
        <v>0</v>
      </c>
      <c r="D11" s="34">
        <v>0.4</v>
      </c>
      <c r="E11" s="34">
        <v>2</v>
      </c>
      <c r="F11" s="34">
        <v>4</v>
      </c>
      <c r="G11" s="34">
        <v>7.6</v>
      </c>
      <c r="H11" s="8">
        <v>7.7</v>
      </c>
      <c r="I11" s="33">
        <v>0</v>
      </c>
      <c r="J11" s="34">
        <v>0.4</v>
      </c>
      <c r="K11" s="34">
        <v>2</v>
      </c>
      <c r="L11" s="34">
        <v>4</v>
      </c>
      <c r="M11" s="34">
        <v>7.6</v>
      </c>
      <c r="N11" s="8">
        <v>7.7</v>
      </c>
      <c r="O11" s="35">
        <v>0</v>
      </c>
      <c r="P11" s="36">
        <v>0.2</v>
      </c>
      <c r="Q11" s="36">
        <v>2</v>
      </c>
      <c r="R11" s="36">
        <v>4.3</v>
      </c>
      <c r="S11" s="36">
        <v>8.1</v>
      </c>
      <c r="T11" s="9">
        <v>8.3000000000000007</v>
      </c>
      <c r="U11" s="35">
        <v>0</v>
      </c>
      <c r="V11" s="36">
        <v>0.3</v>
      </c>
      <c r="W11" s="36">
        <v>2.2000000000000002</v>
      </c>
      <c r="X11" s="36">
        <v>5</v>
      </c>
      <c r="Y11" s="36">
        <v>8.6</v>
      </c>
      <c r="Z11" s="9">
        <v>8.6999999999999993</v>
      </c>
      <c r="AA11" s="35">
        <v>0</v>
      </c>
      <c r="AB11" s="36">
        <v>1</v>
      </c>
      <c r="AC11" s="36">
        <v>2.2999999999999998</v>
      </c>
      <c r="AD11" s="36">
        <v>5</v>
      </c>
      <c r="AE11" s="36">
        <v>8.5</v>
      </c>
      <c r="AF11" s="9">
        <v>8.6999999999999993</v>
      </c>
      <c r="AG11" s="36">
        <v>0</v>
      </c>
      <c r="AH11" s="36">
        <v>1</v>
      </c>
      <c r="AI11" s="36">
        <v>2.2999999999999998</v>
      </c>
      <c r="AJ11" s="36">
        <v>5</v>
      </c>
      <c r="AK11" s="36">
        <v>8.5</v>
      </c>
      <c r="AL11" s="36">
        <v>8.6999999999999993</v>
      </c>
      <c r="AM11" s="10">
        <v>0</v>
      </c>
      <c r="AN11" s="34">
        <v>0.2</v>
      </c>
      <c r="AO11" s="34">
        <v>2.8</v>
      </c>
      <c r="AP11" s="34">
        <v>5.8</v>
      </c>
      <c r="AQ11" s="34">
        <v>8.8000000000000007</v>
      </c>
      <c r="AR11" s="8">
        <v>9</v>
      </c>
      <c r="AS11" s="10">
        <v>0</v>
      </c>
      <c r="AT11" s="34">
        <v>0.2</v>
      </c>
      <c r="AU11" s="34">
        <v>2.8</v>
      </c>
      <c r="AV11" s="34">
        <v>5.8</v>
      </c>
      <c r="AW11" s="34">
        <v>8.8000000000000007</v>
      </c>
      <c r="AX11" s="8">
        <v>9</v>
      </c>
      <c r="AY11" s="16" t="s">
        <v>18</v>
      </c>
      <c r="AZ11" s="188"/>
      <c r="BA11" s="188"/>
      <c r="BB11" s="188"/>
      <c r="BC11" s="73">
        <f t="shared" ref="BC11" si="18">BC39</f>
        <v>3.2800000000000002</v>
      </c>
      <c r="BD11" s="73">
        <f t="shared" ref="BD11" si="19">BD39</f>
        <v>3.6899999999999995</v>
      </c>
      <c r="BE11" s="73">
        <f t="shared" ref="BE11:BG11" si="20">BE39</f>
        <v>3.6899999999999995</v>
      </c>
      <c r="BF11" s="73">
        <f t="shared" si="20"/>
        <v>4.3849999999999998</v>
      </c>
      <c r="BG11" s="73">
        <f t="shared" si="20"/>
        <v>4.3849999999999998</v>
      </c>
      <c r="BH11" s="54"/>
      <c r="BI11" s="3"/>
      <c r="BJ11" s="3"/>
      <c r="BK11" s="82">
        <f>(BC10+BC11)/2*$AS$25</f>
        <v>39.1</v>
      </c>
      <c r="BL11" s="82">
        <f>(BD10+BD11)/2*$AS$25</f>
        <v>43.3</v>
      </c>
      <c r="BM11" s="82">
        <f>(BE10+BE11)/2*$AS$25</f>
        <v>43.3</v>
      </c>
      <c r="BN11" s="82">
        <f t="shared" ref="BN11:BO11" si="21">(BF10+BF11)/2*$AS$25</f>
        <v>59.2</v>
      </c>
      <c r="BO11" s="82">
        <f t="shared" si="21"/>
        <v>59.2</v>
      </c>
      <c r="BP11" t="s">
        <v>18</v>
      </c>
      <c r="BQ11" s="208">
        <f>AX23</f>
        <v>3.2</v>
      </c>
      <c r="BR11" s="210">
        <f>AS25</f>
        <v>10</v>
      </c>
      <c r="BS11" s="210">
        <f t="shared" si="8"/>
        <v>44.5</v>
      </c>
      <c r="BT11">
        <v>36.799999999999997</v>
      </c>
      <c r="BU11" s="100">
        <f t="shared" si="4"/>
        <v>23.639999999999997</v>
      </c>
      <c r="BV11">
        <v>-1.8</v>
      </c>
      <c r="BW11">
        <v>3</v>
      </c>
    </row>
    <row r="12" spans="1:80" x14ac:dyDescent="0.25">
      <c r="A12" s="220"/>
      <c r="B12" s="12" t="s">
        <v>11</v>
      </c>
      <c r="C12" s="30">
        <v>4</v>
      </c>
      <c r="D12" s="31">
        <v>3.6</v>
      </c>
      <c r="E12" s="31">
        <v>0</v>
      </c>
      <c r="F12" s="31">
        <v>0</v>
      </c>
      <c r="G12" s="31">
        <v>3</v>
      </c>
      <c r="H12" s="32">
        <v>4</v>
      </c>
      <c r="I12" s="30">
        <v>4</v>
      </c>
      <c r="J12" s="31">
        <v>3.6</v>
      </c>
      <c r="K12" s="31">
        <v>0</v>
      </c>
      <c r="L12" s="31">
        <v>0</v>
      </c>
      <c r="M12" s="31">
        <v>3</v>
      </c>
      <c r="N12" s="32">
        <v>4</v>
      </c>
      <c r="O12" s="30">
        <v>4.5</v>
      </c>
      <c r="P12" s="31">
        <v>4</v>
      </c>
      <c r="Q12" s="31">
        <v>0</v>
      </c>
      <c r="R12" s="31">
        <v>0</v>
      </c>
      <c r="S12" s="31">
        <v>3.45</v>
      </c>
      <c r="T12" s="32">
        <v>4.5</v>
      </c>
      <c r="U12" s="30">
        <v>4.7</v>
      </c>
      <c r="V12" s="31">
        <v>4</v>
      </c>
      <c r="W12" s="31">
        <v>0</v>
      </c>
      <c r="X12" s="31">
        <v>0</v>
      </c>
      <c r="Y12" s="31">
        <v>3.8</v>
      </c>
      <c r="Z12" s="32">
        <v>4.7</v>
      </c>
      <c r="AA12" s="30">
        <v>4.7</v>
      </c>
      <c r="AB12" s="31">
        <v>2</v>
      </c>
      <c r="AC12" s="31">
        <v>0</v>
      </c>
      <c r="AD12" s="31">
        <v>0</v>
      </c>
      <c r="AE12" s="31">
        <v>3.3</v>
      </c>
      <c r="AF12" s="32">
        <v>4.7</v>
      </c>
      <c r="AG12" s="31">
        <v>4.7</v>
      </c>
      <c r="AH12" s="31">
        <v>2</v>
      </c>
      <c r="AI12" s="31">
        <v>0</v>
      </c>
      <c r="AJ12" s="31">
        <v>0</v>
      </c>
      <c r="AK12" s="31">
        <v>3.3</v>
      </c>
      <c r="AL12" s="31">
        <v>4.7</v>
      </c>
      <c r="AM12" s="16">
        <v>4.7</v>
      </c>
      <c r="AN12" s="200">
        <v>3.7</v>
      </c>
      <c r="AO12" s="200">
        <v>0</v>
      </c>
      <c r="AP12" s="200">
        <v>0</v>
      </c>
      <c r="AQ12" s="200">
        <v>4.2</v>
      </c>
      <c r="AR12" s="29">
        <v>4.7</v>
      </c>
      <c r="AS12" s="16">
        <v>4.7</v>
      </c>
      <c r="AT12" s="28">
        <v>3.7</v>
      </c>
      <c r="AU12" s="28">
        <v>0</v>
      </c>
      <c r="AV12" s="28">
        <v>0</v>
      </c>
      <c r="AW12" s="28">
        <v>4.2</v>
      </c>
      <c r="AX12" s="29">
        <v>4.7</v>
      </c>
      <c r="AY12" s="16" t="s">
        <v>19</v>
      </c>
      <c r="AZ12" s="188"/>
      <c r="BA12" s="188"/>
      <c r="BB12" s="188"/>
      <c r="BC12" s="188"/>
      <c r="BD12" s="73">
        <f t="shared" ref="BD12" si="22">BD40</f>
        <v>3.335</v>
      </c>
      <c r="BE12" s="73">
        <f t="shared" ref="BE12:BG12" si="23">BE40</f>
        <v>4.1899999999999995</v>
      </c>
      <c r="BF12" s="73">
        <f t="shared" si="23"/>
        <v>4.29</v>
      </c>
      <c r="BG12" s="73">
        <f t="shared" si="23"/>
        <v>4.29</v>
      </c>
      <c r="BH12" s="54"/>
      <c r="BI12" s="3"/>
      <c r="BJ12" s="3"/>
      <c r="BK12" s="3"/>
      <c r="BL12" s="82">
        <f>(BD11+BD12)/2*$AS$28</f>
        <v>21.074999999999999</v>
      </c>
      <c r="BM12" s="82">
        <f>(BE11+BE12)/2*$AS$28</f>
        <v>23.639999999999997</v>
      </c>
      <c r="BN12" s="82">
        <f t="shared" ref="BN12:BO12" si="24">(BF11+BF12)/2*$AS$28</f>
        <v>26.025000000000002</v>
      </c>
      <c r="BO12" s="82">
        <f t="shared" si="24"/>
        <v>26.025000000000002</v>
      </c>
      <c r="BP12" t="s">
        <v>19</v>
      </c>
      <c r="BQ12" s="208">
        <f>AX26</f>
        <v>3</v>
      </c>
      <c r="BR12" s="208">
        <f>AS28</f>
        <v>6</v>
      </c>
      <c r="BS12" s="210">
        <f t="shared" si="8"/>
        <v>18.600000000000001</v>
      </c>
      <c r="BT12">
        <v>39.799999999999997</v>
      </c>
      <c r="BU12" s="100">
        <f t="shared" si="4"/>
        <v>0</v>
      </c>
      <c r="BV12">
        <v>-1.2</v>
      </c>
      <c r="BW12">
        <v>1.4</v>
      </c>
      <c r="BX12">
        <v>-2.44</v>
      </c>
    </row>
    <row r="13" spans="1:80" ht="15.75" thickBot="1" x14ac:dyDescent="0.3">
      <c r="A13" s="221"/>
      <c r="B13" s="18" t="s">
        <v>12</v>
      </c>
      <c r="C13" s="19">
        <v>2.5</v>
      </c>
      <c r="D13" s="20"/>
      <c r="E13" s="20"/>
      <c r="F13" s="20"/>
      <c r="G13" s="20"/>
      <c r="H13" s="21"/>
      <c r="I13" s="19">
        <v>2.5</v>
      </c>
      <c r="J13" s="20"/>
      <c r="K13" s="20"/>
      <c r="L13" s="20"/>
      <c r="M13" s="20"/>
      <c r="N13" s="21"/>
      <c r="O13" s="22"/>
      <c r="P13" s="23"/>
      <c r="Q13" s="23"/>
      <c r="R13" s="23"/>
      <c r="S13" s="23"/>
      <c r="T13" s="24"/>
      <c r="U13" s="22"/>
      <c r="V13" s="23"/>
      <c r="W13" s="23"/>
      <c r="X13" s="23"/>
      <c r="Y13" s="23"/>
      <c r="Z13" s="24"/>
      <c r="AA13" s="22"/>
      <c r="AB13" s="23"/>
      <c r="AC13" s="23"/>
      <c r="AD13" s="23"/>
      <c r="AE13" s="23"/>
      <c r="AF13" s="24"/>
      <c r="AG13" s="23"/>
      <c r="AH13" s="23"/>
      <c r="AI13" s="23"/>
      <c r="AJ13" s="23"/>
      <c r="AK13" s="23"/>
      <c r="AL13" s="23"/>
      <c r="AM13" s="25">
        <v>2.5</v>
      </c>
      <c r="AN13" s="20"/>
      <c r="AO13" s="20"/>
      <c r="AP13" s="20"/>
      <c r="AQ13" s="20"/>
      <c r="AR13" s="21"/>
      <c r="AS13" s="25">
        <v>2.5</v>
      </c>
      <c r="AT13" s="20"/>
      <c r="AU13" s="20"/>
      <c r="AV13" s="20"/>
      <c r="AW13" s="20"/>
      <c r="AX13" s="21"/>
      <c r="AY13" s="16" t="s">
        <v>20</v>
      </c>
      <c r="AZ13" s="188"/>
      <c r="BA13" s="188"/>
      <c r="BB13" s="188"/>
      <c r="BC13" s="188"/>
      <c r="BD13" s="188"/>
      <c r="BE13" s="188"/>
      <c r="BF13" s="73">
        <f t="shared" ref="BF13:BG13" si="25">BF41</f>
        <v>1.9500000000000002</v>
      </c>
      <c r="BG13" s="73">
        <f t="shared" si="25"/>
        <v>1.9500000000000002</v>
      </c>
      <c r="BH13" s="57"/>
      <c r="BI13" s="58"/>
      <c r="BJ13" s="58"/>
      <c r="BK13" s="58"/>
      <c r="BL13" s="58"/>
      <c r="BM13" s="204"/>
      <c r="BN13" s="204">
        <f>(BF12+BF13)/2*AS31</f>
        <v>9.36</v>
      </c>
      <c r="BO13" s="204">
        <f>(BG12+BG13)/2*AS31</f>
        <v>9.36</v>
      </c>
      <c r="BP13" t="s">
        <v>20</v>
      </c>
      <c r="BQ13" s="208">
        <f>AX29</f>
        <v>1.4</v>
      </c>
      <c r="BR13" s="208">
        <f>AS31</f>
        <v>3</v>
      </c>
      <c r="BS13" s="210">
        <f t="shared" si="8"/>
        <v>6.6000000000000005</v>
      </c>
      <c r="BT13">
        <f>SUM(BT4:BT12)</f>
        <v>158.30000000000001</v>
      </c>
      <c r="BV13" s="64">
        <f>AVERAGE(BV4:BV12)</f>
        <v>-3.2888888888888888</v>
      </c>
    </row>
    <row r="14" spans="1:80" x14ac:dyDescent="0.25">
      <c r="A14" s="219" t="s">
        <v>15</v>
      </c>
      <c r="B14" s="12" t="s">
        <v>10</v>
      </c>
      <c r="C14" s="27">
        <v>0</v>
      </c>
      <c r="D14" s="28">
        <v>0.1</v>
      </c>
      <c r="E14" s="28">
        <v>1</v>
      </c>
      <c r="F14" s="28">
        <v>2.8</v>
      </c>
      <c r="G14" s="28">
        <v>3.9</v>
      </c>
      <c r="H14" s="29">
        <v>4</v>
      </c>
      <c r="I14" s="27">
        <v>0</v>
      </c>
      <c r="J14" s="200">
        <v>0.1</v>
      </c>
      <c r="K14" s="200">
        <v>3</v>
      </c>
      <c r="L14" s="200">
        <v>4.2</v>
      </c>
      <c r="M14" s="200">
        <v>6.5</v>
      </c>
      <c r="N14" s="29">
        <v>6.7</v>
      </c>
      <c r="O14" s="30">
        <v>0</v>
      </c>
      <c r="P14" s="31">
        <v>0.2</v>
      </c>
      <c r="Q14" s="31">
        <v>3</v>
      </c>
      <c r="R14" s="31">
        <v>4.7</v>
      </c>
      <c r="S14" s="31">
        <v>8</v>
      </c>
      <c r="T14" s="32">
        <v>8.19</v>
      </c>
      <c r="U14" s="30">
        <v>0</v>
      </c>
      <c r="V14" s="31">
        <v>0.2</v>
      </c>
      <c r="W14" s="31">
        <v>4.3</v>
      </c>
      <c r="X14" s="31">
        <v>6.1</v>
      </c>
      <c r="Y14" s="31">
        <v>10.3</v>
      </c>
      <c r="Z14" s="32">
        <v>10.4</v>
      </c>
      <c r="AA14" s="30">
        <v>0</v>
      </c>
      <c r="AB14" s="31">
        <v>0.3</v>
      </c>
      <c r="AC14" s="31">
        <v>5</v>
      </c>
      <c r="AD14" s="31">
        <v>7</v>
      </c>
      <c r="AE14" s="31">
        <v>11.1</v>
      </c>
      <c r="AF14" s="32">
        <v>11.3</v>
      </c>
      <c r="AG14" s="31">
        <v>0</v>
      </c>
      <c r="AH14" s="31">
        <v>0.3</v>
      </c>
      <c r="AI14" s="31">
        <v>5</v>
      </c>
      <c r="AJ14" s="31">
        <v>7</v>
      </c>
      <c r="AK14" s="31">
        <v>11.1</v>
      </c>
      <c r="AL14" s="31">
        <v>11.3</v>
      </c>
      <c r="AM14" s="16">
        <v>0</v>
      </c>
      <c r="AN14" s="200">
        <v>0.3</v>
      </c>
      <c r="AO14" s="200">
        <v>5</v>
      </c>
      <c r="AP14" s="200">
        <v>7</v>
      </c>
      <c r="AQ14" s="200">
        <v>11.9</v>
      </c>
      <c r="AR14" s="29">
        <v>12</v>
      </c>
      <c r="AS14" s="16">
        <v>0</v>
      </c>
      <c r="AT14" s="28">
        <v>0.3</v>
      </c>
      <c r="AU14" s="28">
        <v>5</v>
      </c>
      <c r="AV14" s="28">
        <v>7</v>
      </c>
      <c r="AW14" s="28">
        <v>11.9</v>
      </c>
      <c r="AX14" s="29">
        <v>12</v>
      </c>
      <c r="AY14" s="16"/>
      <c r="AZ14" s="63">
        <f>SUM(AZ5:AZ13)</f>
        <v>80.484999999999999</v>
      </c>
      <c r="BA14" s="63"/>
      <c r="BB14" s="63">
        <f>SUM(BB5:BB13)</f>
        <v>121.09050000000001</v>
      </c>
      <c r="BC14" s="63">
        <f>SUM(BC5:BC13)</f>
        <v>145.13200000000001</v>
      </c>
      <c r="BD14" s="63">
        <f>SUM(BD5:BD13)</f>
        <v>170.28050000000002</v>
      </c>
      <c r="BE14" s="63">
        <f>SUM(BE5:BE13)</f>
        <v>171.13550000000001</v>
      </c>
      <c r="BF14" s="63"/>
      <c r="BG14" s="63"/>
      <c r="BH14" s="63">
        <f>SUM(BH6:BH13)</f>
        <v>215.10974999999996</v>
      </c>
      <c r="BI14" s="63"/>
      <c r="BJ14" s="63">
        <f>SUM(BJ6:BJ13)</f>
        <v>388.29332500000004</v>
      </c>
      <c r="BK14" s="63">
        <f>SUM(BK6:BK13)</f>
        <v>528.55390000000011</v>
      </c>
      <c r="BL14" s="63">
        <f>SUM(BL6:BL13)</f>
        <v>653.46097499999996</v>
      </c>
      <c r="BM14" s="63">
        <f>SUM(BM6:BM13)</f>
        <v>656.0259749999999</v>
      </c>
      <c r="BN14" s="63">
        <f t="shared" ref="BN14:BO14" si="26">SUM(BN6:BN13)</f>
        <v>728.3202500000001</v>
      </c>
      <c r="BO14" s="63">
        <f t="shared" si="26"/>
        <v>728.3202500000001</v>
      </c>
      <c r="BP14">
        <v>915.96222288866647</v>
      </c>
      <c r="BQ14" s="63"/>
      <c r="BR14" s="63"/>
    </row>
    <row r="15" spans="1:80" x14ac:dyDescent="0.25">
      <c r="A15" s="220"/>
      <c r="B15" s="12" t="s">
        <v>11</v>
      </c>
      <c r="C15" s="30">
        <v>3.6</v>
      </c>
      <c r="D15" s="31">
        <v>3</v>
      </c>
      <c r="E15" s="31">
        <v>0</v>
      </c>
      <c r="F15" s="31">
        <v>0</v>
      </c>
      <c r="G15" s="31">
        <v>2.8</v>
      </c>
      <c r="H15" s="32">
        <v>3.6</v>
      </c>
      <c r="I15" s="30">
        <v>3.6</v>
      </c>
      <c r="J15" s="31">
        <v>3</v>
      </c>
      <c r="K15" s="31">
        <v>0</v>
      </c>
      <c r="L15" s="31">
        <v>0</v>
      </c>
      <c r="M15" s="31">
        <v>2.8</v>
      </c>
      <c r="N15" s="32">
        <v>3.6</v>
      </c>
      <c r="O15" s="30">
        <v>4.2</v>
      </c>
      <c r="P15" s="31">
        <v>3.3</v>
      </c>
      <c r="Q15" s="31">
        <v>0</v>
      </c>
      <c r="R15" s="31">
        <v>0</v>
      </c>
      <c r="S15" s="31">
        <v>3.6</v>
      </c>
      <c r="T15" s="32">
        <v>4.2</v>
      </c>
      <c r="U15" s="30">
        <v>4</v>
      </c>
      <c r="V15" s="31">
        <v>3.4</v>
      </c>
      <c r="W15" s="31">
        <v>0</v>
      </c>
      <c r="X15" s="31">
        <v>0</v>
      </c>
      <c r="Y15" s="31">
        <v>3.2</v>
      </c>
      <c r="Z15" s="32">
        <v>4</v>
      </c>
      <c r="AA15" s="30">
        <v>4.5999999999999996</v>
      </c>
      <c r="AB15" s="31">
        <v>3.3</v>
      </c>
      <c r="AC15" s="31">
        <v>0</v>
      </c>
      <c r="AD15" s="31">
        <v>0</v>
      </c>
      <c r="AE15" s="31">
        <v>4</v>
      </c>
      <c r="AF15" s="32">
        <v>4.5999999999999996</v>
      </c>
      <c r="AG15" s="31">
        <v>4.5999999999999996</v>
      </c>
      <c r="AH15" s="31">
        <v>3.3</v>
      </c>
      <c r="AI15" s="31">
        <v>0</v>
      </c>
      <c r="AJ15" s="31">
        <v>0</v>
      </c>
      <c r="AK15" s="31">
        <v>4</v>
      </c>
      <c r="AL15" s="31">
        <v>4.5999999999999996</v>
      </c>
      <c r="AM15" s="16">
        <v>4.7</v>
      </c>
      <c r="AN15" s="200">
        <v>4</v>
      </c>
      <c r="AO15" s="200">
        <v>0</v>
      </c>
      <c r="AP15" s="200">
        <v>0</v>
      </c>
      <c r="AQ15" s="200">
        <v>3.8</v>
      </c>
      <c r="AR15" s="29">
        <v>4.7</v>
      </c>
      <c r="AS15" s="16">
        <v>4.7</v>
      </c>
      <c r="AT15" s="28">
        <v>4</v>
      </c>
      <c r="AU15" s="28">
        <v>0</v>
      </c>
      <c r="AV15" s="28">
        <v>0</v>
      </c>
      <c r="AW15" s="28">
        <v>3.8</v>
      </c>
      <c r="AX15" s="29">
        <v>4.7</v>
      </c>
      <c r="AY15" s="28"/>
      <c r="BD15" s="65"/>
      <c r="BE15" s="179">
        <f>BE14-AZ14</f>
        <v>90.650500000000008</v>
      </c>
      <c r="BF15" s="179"/>
      <c r="BG15" s="179"/>
      <c r="BH15">
        <v>0</v>
      </c>
      <c r="BJ15" s="63">
        <f>BJ14-$BH14</f>
        <v>173.18357500000008</v>
      </c>
      <c r="BK15" s="63">
        <f>BK14-$BH14</f>
        <v>313.44415000000015</v>
      </c>
      <c r="BL15" s="63">
        <f>BL14-$BH14</f>
        <v>438.351225</v>
      </c>
      <c r="BM15" s="63">
        <f>BM14-$BH14</f>
        <v>440.91622499999994</v>
      </c>
      <c r="BN15" s="63">
        <f t="shared" ref="BN15:BO15" si="27">BN14-$BH14</f>
        <v>513.21050000000014</v>
      </c>
      <c r="BO15" s="63">
        <f t="shared" si="27"/>
        <v>513.21050000000014</v>
      </c>
      <c r="BP15">
        <v>670.15496389041596</v>
      </c>
      <c r="BQ15" s="179"/>
      <c r="BR15" s="179"/>
    </row>
    <row r="16" spans="1:80" ht="15.75" thickBot="1" x14ac:dyDescent="0.3">
      <c r="A16" s="221"/>
      <c r="B16" s="12" t="s">
        <v>12</v>
      </c>
      <c r="C16" s="27">
        <v>2.5</v>
      </c>
      <c r="D16" s="28"/>
      <c r="E16" s="28"/>
      <c r="F16" s="28"/>
      <c r="G16" s="28"/>
      <c r="H16" s="29"/>
      <c r="I16" s="27">
        <v>2.5</v>
      </c>
      <c r="J16" s="200"/>
      <c r="K16" s="200"/>
      <c r="L16" s="200"/>
      <c r="M16" s="200"/>
      <c r="N16" s="29"/>
      <c r="O16" s="30"/>
      <c r="P16" s="31"/>
      <c r="Q16" s="31"/>
      <c r="R16" s="31"/>
      <c r="S16" s="31"/>
      <c r="T16" s="32"/>
      <c r="U16" s="30"/>
      <c r="V16" s="31"/>
      <c r="W16" s="31"/>
      <c r="X16" s="31"/>
      <c r="Y16" s="31"/>
      <c r="Z16" s="32"/>
      <c r="AA16" s="30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25">
        <v>2.5</v>
      </c>
      <c r="AN16" s="20"/>
      <c r="AO16" s="20"/>
      <c r="AP16" s="20"/>
      <c r="AQ16" s="20"/>
      <c r="AR16" s="21"/>
      <c r="AS16" s="25">
        <v>2.5</v>
      </c>
      <c r="AT16" s="20"/>
      <c r="AU16" s="20"/>
      <c r="AV16" s="20"/>
      <c r="AW16" s="20"/>
      <c r="AX16" s="21"/>
      <c r="AY16" s="28"/>
      <c r="AZ16" t="s">
        <v>71</v>
      </c>
      <c r="BD16">
        <f>AS22+AS25+AS28+AS31</f>
        <v>24.4</v>
      </c>
      <c r="BM16" s="63"/>
      <c r="BN16" s="63"/>
      <c r="BO16" s="63"/>
    </row>
    <row r="17" spans="1:70" x14ac:dyDescent="0.25">
      <c r="A17" s="219" t="s">
        <v>16</v>
      </c>
      <c r="B17" s="5" t="s">
        <v>10</v>
      </c>
      <c r="C17" s="33">
        <v>0</v>
      </c>
      <c r="D17" s="34">
        <v>0.1</v>
      </c>
      <c r="E17" s="34">
        <v>1.5</v>
      </c>
      <c r="F17" s="34">
        <v>2.5</v>
      </c>
      <c r="G17" s="34">
        <v>3.9</v>
      </c>
      <c r="H17" s="8">
        <v>4</v>
      </c>
      <c r="I17" s="33">
        <v>0</v>
      </c>
      <c r="J17" s="34">
        <v>0.1</v>
      </c>
      <c r="K17" s="34">
        <v>2.5</v>
      </c>
      <c r="L17" s="34">
        <v>3</v>
      </c>
      <c r="M17" s="34">
        <v>5.2</v>
      </c>
      <c r="N17" s="8">
        <v>6</v>
      </c>
      <c r="O17" s="35">
        <v>0</v>
      </c>
      <c r="P17" s="36">
        <v>0.2</v>
      </c>
      <c r="Q17" s="36">
        <v>3</v>
      </c>
      <c r="R17" s="36">
        <v>4</v>
      </c>
      <c r="S17" s="36">
        <v>8</v>
      </c>
      <c r="T17" s="9">
        <v>8.1999999999999993</v>
      </c>
      <c r="U17" s="35">
        <v>0</v>
      </c>
      <c r="V17" s="36">
        <v>0.2</v>
      </c>
      <c r="W17" s="36">
        <v>4</v>
      </c>
      <c r="X17" s="36">
        <v>5.4</v>
      </c>
      <c r="Y17" s="36">
        <v>10.3</v>
      </c>
      <c r="Z17" s="9">
        <v>10.4</v>
      </c>
      <c r="AA17" s="35">
        <v>0</v>
      </c>
      <c r="AB17" s="36">
        <v>0.23</v>
      </c>
      <c r="AC17" s="36">
        <v>4.8</v>
      </c>
      <c r="AD17" s="36">
        <v>6.2</v>
      </c>
      <c r="AE17" s="36">
        <v>11</v>
      </c>
      <c r="AF17" s="9">
        <v>11.3</v>
      </c>
      <c r="AG17" s="36">
        <v>0</v>
      </c>
      <c r="AH17" s="36">
        <v>0.23</v>
      </c>
      <c r="AI17" s="36">
        <v>4.8</v>
      </c>
      <c r="AJ17" s="36">
        <v>6.2</v>
      </c>
      <c r="AK17" s="36">
        <v>11</v>
      </c>
      <c r="AL17" s="36">
        <v>11.3</v>
      </c>
      <c r="AM17" s="10">
        <v>0</v>
      </c>
      <c r="AN17" s="34">
        <v>0.4</v>
      </c>
      <c r="AO17" s="34">
        <v>5.6</v>
      </c>
      <c r="AP17" s="34">
        <v>7</v>
      </c>
      <c r="AQ17" s="34">
        <v>11.7</v>
      </c>
      <c r="AR17" s="8">
        <v>12</v>
      </c>
      <c r="AS17" s="10">
        <v>0</v>
      </c>
      <c r="AT17" s="34">
        <v>0.4</v>
      </c>
      <c r="AU17" s="34">
        <v>5.6</v>
      </c>
      <c r="AV17" s="34">
        <v>7</v>
      </c>
      <c r="AW17" s="34">
        <v>11.7</v>
      </c>
      <c r="AX17" s="8">
        <v>12</v>
      </c>
      <c r="AY17" s="28"/>
      <c r="BD17" s="65"/>
      <c r="BE17" s="65"/>
      <c r="BF17" s="65"/>
      <c r="BG17" s="65"/>
      <c r="BM17" s="63"/>
      <c r="BN17" s="63"/>
      <c r="BO17" s="63"/>
      <c r="BQ17" s="65"/>
      <c r="BR17" s="65"/>
    </row>
    <row r="18" spans="1:70" x14ac:dyDescent="0.25">
      <c r="A18" s="220"/>
      <c r="B18" s="12" t="s">
        <v>11</v>
      </c>
      <c r="C18" s="27">
        <v>1.8</v>
      </c>
      <c r="D18" s="28">
        <v>0.6</v>
      </c>
      <c r="E18" s="28">
        <v>0</v>
      </c>
      <c r="F18" s="28">
        <v>0</v>
      </c>
      <c r="G18" s="28">
        <v>0.4</v>
      </c>
      <c r="H18" s="29">
        <v>1.8</v>
      </c>
      <c r="I18" s="27">
        <v>1.8</v>
      </c>
      <c r="J18" s="200">
        <v>0.6</v>
      </c>
      <c r="K18" s="200">
        <v>0</v>
      </c>
      <c r="L18" s="200">
        <v>0</v>
      </c>
      <c r="M18" s="200">
        <v>0.4</v>
      </c>
      <c r="N18" s="29">
        <v>1.8</v>
      </c>
      <c r="O18" s="30">
        <v>2.2000000000000002</v>
      </c>
      <c r="P18" s="31">
        <v>0.85</v>
      </c>
      <c r="Q18" s="31">
        <v>0</v>
      </c>
      <c r="R18" s="31">
        <v>0</v>
      </c>
      <c r="S18" s="31">
        <v>1</v>
      </c>
      <c r="T18" s="32">
        <v>2.2000000000000002</v>
      </c>
      <c r="U18" s="30">
        <v>3</v>
      </c>
      <c r="V18" s="31">
        <v>1.3</v>
      </c>
      <c r="W18" s="31">
        <v>0</v>
      </c>
      <c r="X18" s="31">
        <v>0</v>
      </c>
      <c r="Y18" s="31">
        <v>2</v>
      </c>
      <c r="Z18" s="32">
        <v>3</v>
      </c>
      <c r="AA18" s="30">
        <v>3.3</v>
      </c>
      <c r="AB18" s="31">
        <v>1</v>
      </c>
      <c r="AC18" s="31">
        <v>0</v>
      </c>
      <c r="AD18" s="31">
        <v>0</v>
      </c>
      <c r="AE18" s="31">
        <v>1.4</v>
      </c>
      <c r="AF18" s="32">
        <v>3.3</v>
      </c>
      <c r="AG18" s="31">
        <v>3.3</v>
      </c>
      <c r="AH18" s="31">
        <v>1</v>
      </c>
      <c r="AI18" s="31">
        <v>0</v>
      </c>
      <c r="AJ18" s="31">
        <v>0</v>
      </c>
      <c r="AK18" s="31">
        <v>1.4</v>
      </c>
      <c r="AL18" s="31">
        <v>3.3</v>
      </c>
      <c r="AM18" s="16">
        <v>3.7</v>
      </c>
      <c r="AN18" s="200">
        <v>2.4</v>
      </c>
      <c r="AO18" s="200">
        <v>0</v>
      </c>
      <c r="AP18" s="200">
        <v>0</v>
      </c>
      <c r="AQ18" s="200">
        <v>2.6</v>
      </c>
      <c r="AR18" s="29">
        <v>3.7</v>
      </c>
      <c r="AS18" s="16">
        <v>3.7</v>
      </c>
      <c r="AT18" s="28">
        <v>2.4</v>
      </c>
      <c r="AU18" s="28">
        <v>0</v>
      </c>
      <c r="AV18" s="28">
        <v>0</v>
      </c>
      <c r="AW18" s="28">
        <v>2.6</v>
      </c>
      <c r="AX18" s="29">
        <v>3.7</v>
      </c>
      <c r="AY18" s="16"/>
      <c r="BD18" s="65" t="s">
        <v>155</v>
      </c>
      <c r="BE18" s="65"/>
      <c r="BF18" s="65"/>
      <c r="BG18" s="65"/>
      <c r="BQ18" s="65"/>
      <c r="BR18" s="65"/>
    </row>
    <row r="19" spans="1:70" ht="15.75" thickBot="1" x14ac:dyDescent="0.3">
      <c r="A19" s="221"/>
      <c r="B19" s="18" t="s">
        <v>12</v>
      </c>
      <c r="C19" s="19">
        <v>8</v>
      </c>
      <c r="D19" s="20"/>
      <c r="E19" s="20"/>
      <c r="F19" s="20"/>
      <c r="G19" s="20"/>
      <c r="H19" s="21"/>
      <c r="I19" s="19">
        <v>8</v>
      </c>
      <c r="J19" s="20"/>
      <c r="K19" s="20"/>
      <c r="L19" s="20"/>
      <c r="M19" s="20"/>
      <c r="N19" s="21"/>
      <c r="O19" s="22"/>
      <c r="P19" s="23"/>
      <c r="Q19" s="23"/>
      <c r="R19" s="23"/>
      <c r="S19" s="23"/>
      <c r="T19" s="24"/>
      <c r="U19" s="22"/>
      <c r="V19" s="23"/>
      <c r="W19" s="23"/>
      <c r="X19" s="23"/>
      <c r="Y19" s="23"/>
      <c r="Z19" s="24"/>
      <c r="AA19" s="22"/>
      <c r="AB19" s="23"/>
      <c r="AC19" s="23"/>
      <c r="AD19" s="23"/>
      <c r="AE19" s="23"/>
      <c r="AF19" s="24"/>
      <c r="AG19" s="23"/>
      <c r="AH19" s="23"/>
      <c r="AI19" s="23"/>
      <c r="AJ19" s="23"/>
      <c r="AK19" s="23"/>
      <c r="AL19" s="23"/>
      <c r="AM19" s="20">
        <v>8</v>
      </c>
      <c r="AN19" s="20"/>
      <c r="AO19" s="20"/>
      <c r="AP19" s="20"/>
      <c r="AQ19" s="20"/>
      <c r="AR19" s="21"/>
      <c r="AS19" s="20">
        <v>8</v>
      </c>
      <c r="AT19" s="20"/>
      <c r="AU19" s="20"/>
      <c r="AV19" s="20"/>
      <c r="AW19" s="20"/>
      <c r="AX19" s="21"/>
      <c r="AY19" s="16"/>
      <c r="BB19" s="47">
        <f>F3</f>
        <v>41453</v>
      </c>
      <c r="BC19" t="s">
        <v>16</v>
      </c>
      <c r="BD19">
        <f>H18</f>
        <v>1.8</v>
      </c>
    </row>
    <row r="20" spans="1:70" x14ac:dyDescent="0.25">
      <c r="A20" s="219" t="s">
        <v>17</v>
      </c>
      <c r="B20" s="12" t="s">
        <v>10</v>
      </c>
      <c r="C20" s="37"/>
      <c r="D20" s="38"/>
      <c r="E20" s="38"/>
      <c r="F20" s="38"/>
      <c r="G20" s="38"/>
      <c r="H20" s="39"/>
      <c r="I20" s="38"/>
      <c r="J20" s="38"/>
      <c r="K20" s="38"/>
      <c r="L20" s="38"/>
      <c r="M20" s="38"/>
      <c r="N20" s="38"/>
      <c r="O20" s="30">
        <v>0</v>
      </c>
      <c r="P20" s="31">
        <v>0.1</v>
      </c>
      <c r="Q20" s="31">
        <v>0.6</v>
      </c>
      <c r="R20" s="31">
        <v>2</v>
      </c>
      <c r="S20" s="31">
        <v>2.9</v>
      </c>
      <c r="T20" s="32">
        <v>3</v>
      </c>
      <c r="U20" s="30">
        <v>0</v>
      </c>
      <c r="V20" s="31">
        <v>0.2</v>
      </c>
      <c r="W20" s="31">
        <v>1</v>
      </c>
      <c r="X20" s="31">
        <v>2.8</v>
      </c>
      <c r="Y20" s="31">
        <v>3.6</v>
      </c>
      <c r="Z20" s="32">
        <v>3.8</v>
      </c>
      <c r="AA20" s="30">
        <v>0</v>
      </c>
      <c r="AB20" s="31">
        <v>0.3</v>
      </c>
      <c r="AC20" s="31">
        <v>1</v>
      </c>
      <c r="AD20" s="31">
        <v>3</v>
      </c>
      <c r="AE20" s="31">
        <v>3.7</v>
      </c>
      <c r="AF20" s="32">
        <v>4</v>
      </c>
      <c r="AG20" s="31">
        <v>0</v>
      </c>
      <c r="AH20" s="31">
        <v>0.3</v>
      </c>
      <c r="AI20" s="31">
        <v>1</v>
      </c>
      <c r="AJ20" s="31">
        <v>3</v>
      </c>
      <c r="AK20" s="31">
        <v>3.7</v>
      </c>
      <c r="AL20" s="31">
        <v>4</v>
      </c>
      <c r="AM20" s="10">
        <v>0</v>
      </c>
      <c r="AN20" s="34">
        <v>0.3</v>
      </c>
      <c r="AO20" s="34">
        <v>1.3</v>
      </c>
      <c r="AP20" s="34">
        <v>4.5</v>
      </c>
      <c r="AQ20" s="34">
        <v>5.4</v>
      </c>
      <c r="AR20" s="8">
        <v>5.7</v>
      </c>
      <c r="AS20" s="10">
        <v>0</v>
      </c>
      <c r="AT20" s="34">
        <v>0.3</v>
      </c>
      <c r="AU20" s="34">
        <v>1.3</v>
      </c>
      <c r="AV20" s="34">
        <v>4.5</v>
      </c>
      <c r="AW20" s="34">
        <v>5.4</v>
      </c>
      <c r="AX20" s="8">
        <v>5.7</v>
      </c>
      <c r="AY20" s="16"/>
      <c r="BB20" s="47">
        <f>Q3</f>
        <v>41478</v>
      </c>
      <c r="BC20" t="s">
        <v>17</v>
      </c>
      <c r="BD20">
        <f>T21</f>
        <v>1</v>
      </c>
      <c r="BE20" s="65"/>
      <c r="BF20" s="65"/>
      <c r="BG20" s="65"/>
      <c r="BQ20" s="65"/>
      <c r="BR20" s="65"/>
    </row>
    <row r="21" spans="1:70" x14ac:dyDescent="0.25">
      <c r="A21" s="220"/>
      <c r="B21" s="12" t="s">
        <v>11</v>
      </c>
      <c r="C21" s="37"/>
      <c r="D21" s="38"/>
      <c r="E21" s="38"/>
      <c r="F21" s="38"/>
      <c r="G21" s="38"/>
      <c r="H21" s="39"/>
      <c r="I21" s="38"/>
      <c r="J21" s="38"/>
      <c r="K21" s="38"/>
      <c r="L21" s="38"/>
      <c r="M21" s="38"/>
      <c r="N21" s="38"/>
      <c r="O21" s="30">
        <v>1</v>
      </c>
      <c r="P21" s="31">
        <v>0.2</v>
      </c>
      <c r="Q21" s="31">
        <v>0</v>
      </c>
      <c r="R21" s="31">
        <v>0</v>
      </c>
      <c r="S21" s="31">
        <v>0.1</v>
      </c>
      <c r="T21" s="32">
        <v>1</v>
      </c>
      <c r="U21" s="30">
        <v>1.4</v>
      </c>
      <c r="V21" s="31">
        <v>0.4</v>
      </c>
      <c r="W21" s="31">
        <v>0</v>
      </c>
      <c r="X21" s="31">
        <v>0</v>
      </c>
      <c r="Y21" s="31">
        <v>0.6</v>
      </c>
      <c r="Z21" s="32">
        <v>1.4</v>
      </c>
      <c r="AA21" s="30">
        <v>1.6</v>
      </c>
      <c r="AB21" s="31">
        <v>1</v>
      </c>
      <c r="AC21" s="31">
        <v>0</v>
      </c>
      <c r="AD21" s="31">
        <v>0</v>
      </c>
      <c r="AE21" s="31">
        <v>0.9</v>
      </c>
      <c r="AF21" s="32">
        <v>1.6</v>
      </c>
      <c r="AG21" s="31">
        <v>1.6</v>
      </c>
      <c r="AH21" s="31">
        <v>1</v>
      </c>
      <c r="AI21" s="31">
        <v>0</v>
      </c>
      <c r="AJ21" s="31">
        <v>0</v>
      </c>
      <c r="AK21" s="31">
        <v>0.9</v>
      </c>
      <c r="AL21" s="31">
        <v>1.6</v>
      </c>
      <c r="AM21" s="200">
        <v>1.6</v>
      </c>
      <c r="AN21" s="200">
        <v>0.9</v>
      </c>
      <c r="AO21" s="200">
        <v>0</v>
      </c>
      <c r="AP21" s="200">
        <v>0</v>
      </c>
      <c r="AQ21" s="200">
        <v>1</v>
      </c>
      <c r="AR21" s="29">
        <v>1.6</v>
      </c>
      <c r="AS21" s="28">
        <v>1.6</v>
      </c>
      <c r="AT21" s="28">
        <v>0.9</v>
      </c>
      <c r="AU21" s="28">
        <v>0</v>
      </c>
      <c r="AV21" s="28">
        <v>0</v>
      </c>
      <c r="AW21" s="28">
        <v>1</v>
      </c>
      <c r="AX21" s="29">
        <v>1.6</v>
      </c>
      <c r="AY21" s="16"/>
      <c r="BB21" s="47">
        <f>W3</f>
        <v>41491</v>
      </c>
      <c r="BC21" t="s">
        <v>18</v>
      </c>
      <c r="BD21" s="65">
        <f>Z24</f>
        <v>1.3</v>
      </c>
      <c r="BE21" s="65"/>
      <c r="BF21" s="65"/>
      <c r="BG21" s="65"/>
      <c r="BQ21" s="65"/>
      <c r="BR21" s="65"/>
    </row>
    <row r="22" spans="1:70" ht="15.75" thickBot="1" x14ac:dyDescent="0.3">
      <c r="A22" s="221"/>
      <c r="B22" s="12" t="s">
        <v>12</v>
      </c>
      <c r="C22" s="37"/>
      <c r="D22" s="38"/>
      <c r="E22" s="38"/>
      <c r="F22" s="38"/>
      <c r="G22" s="38"/>
      <c r="H22" s="39"/>
      <c r="I22" s="38"/>
      <c r="J22" s="38"/>
      <c r="K22" s="38"/>
      <c r="L22" s="38"/>
      <c r="M22" s="38"/>
      <c r="N22" s="38"/>
      <c r="O22" s="30">
        <v>5.4</v>
      </c>
      <c r="P22" s="31"/>
      <c r="Q22" s="31"/>
      <c r="R22" s="31"/>
      <c r="S22" s="31"/>
      <c r="T22" s="32"/>
      <c r="U22" s="30"/>
      <c r="V22" s="31"/>
      <c r="W22" s="31"/>
      <c r="X22" s="31"/>
      <c r="Y22" s="31"/>
      <c r="Z22" s="32"/>
      <c r="AA22" s="30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20">
        <v>5.4</v>
      </c>
      <c r="AN22" s="20"/>
      <c r="AO22" s="20"/>
      <c r="AP22" s="20"/>
      <c r="AQ22" s="20"/>
      <c r="AR22" s="21"/>
      <c r="AS22" s="20">
        <v>5.4</v>
      </c>
      <c r="AT22" s="20"/>
      <c r="AU22" s="20"/>
      <c r="AV22" s="20"/>
      <c r="AW22" s="20"/>
      <c r="AX22" s="21"/>
      <c r="AY22" s="16"/>
      <c r="AZ22" s="65"/>
      <c r="BA22" s="65"/>
      <c r="BB22" s="47">
        <f>AC3</f>
        <v>41499</v>
      </c>
      <c r="BC22" t="s">
        <v>19</v>
      </c>
      <c r="BD22" s="65">
        <f>AF27</f>
        <v>1.2</v>
      </c>
      <c r="BE22" s="65"/>
      <c r="BF22" s="65"/>
      <c r="BG22" s="65"/>
      <c r="BQ22" s="65"/>
      <c r="BR22" s="65"/>
    </row>
    <row r="23" spans="1:70" x14ac:dyDescent="0.25">
      <c r="A23" s="219" t="s">
        <v>18</v>
      </c>
      <c r="B23" s="5" t="s">
        <v>10</v>
      </c>
      <c r="C23" s="40"/>
      <c r="D23" s="41"/>
      <c r="E23" s="41"/>
      <c r="F23" s="41"/>
      <c r="G23" s="41"/>
      <c r="H23" s="42"/>
      <c r="I23" s="41"/>
      <c r="J23" s="41"/>
      <c r="K23" s="41"/>
      <c r="L23" s="41"/>
      <c r="M23" s="41"/>
      <c r="N23" s="41"/>
      <c r="O23" s="40"/>
      <c r="P23" s="41"/>
      <c r="Q23" s="41"/>
      <c r="R23" s="41"/>
      <c r="S23" s="41"/>
      <c r="T23" s="42"/>
      <c r="U23" s="35">
        <v>0</v>
      </c>
      <c r="V23" s="36">
        <v>0.1</v>
      </c>
      <c r="W23" s="36">
        <v>0.8</v>
      </c>
      <c r="X23" s="36">
        <v>1.8</v>
      </c>
      <c r="Y23" s="36">
        <v>2.7</v>
      </c>
      <c r="Z23" s="9">
        <v>2.8</v>
      </c>
      <c r="AA23" s="35">
        <v>0</v>
      </c>
      <c r="AB23" s="36">
        <v>0.2</v>
      </c>
      <c r="AC23" s="36">
        <v>0.8</v>
      </c>
      <c r="AD23" s="36">
        <v>2.4</v>
      </c>
      <c r="AE23" s="36">
        <v>2.8</v>
      </c>
      <c r="AF23" s="9">
        <v>3</v>
      </c>
      <c r="AG23" s="36">
        <v>0</v>
      </c>
      <c r="AH23" s="36">
        <v>0.2</v>
      </c>
      <c r="AI23" s="36">
        <v>0.8</v>
      </c>
      <c r="AJ23" s="36">
        <v>2.4</v>
      </c>
      <c r="AK23" s="36">
        <v>2.8</v>
      </c>
      <c r="AL23" s="36">
        <v>3</v>
      </c>
      <c r="AM23" s="34">
        <v>0</v>
      </c>
      <c r="AN23" s="34">
        <v>0.6</v>
      </c>
      <c r="AO23" s="34">
        <v>1</v>
      </c>
      <c r="AP23" s="34">
        <v>2.9</v>
      </c>
      <c r="AQ23" s="34">
        <v>3.1</v>
      </c>
      <c r="AR23" s="8">
        <v>3.2</v>
      </c>
      <c r="AS23" s="34">
        <v>0</v>
      </c>
      <c r="AT23" s="34">
        <v>0.6</v>
      </c>
      <c r="AU23" s="34">
        <v>1</v>
      </c>
      <c r="AV23" s="34">
        <v>2.9</v>
      </c>
      <c r="AW23" s="34">
        <v>3.1</v>
      </c>
      <c r="AX23" s="8">
        <v>3.2</v>
      </c>
      <c r="AY23" s="16"/>
      <c r="AZ23" s="65"/>
      <c r="BA23" s="65"/>
      <c r="BB23" s="193">
        <f>AI3</f>
        <v>41516</v>
      </c>
      <c r="BC23" s="65" t="s">
        <v>20</v>
      </c>
      <c r="BD23" s="65">
        <f>AX30</f>
        <v>1.8</v>
      </c>
      <c r="BE23" s="65"/>
      <c r="BF23" s="65"/>
      <c r="BG23" s="65"/>
      <c r="BQ23" s="65"/>
      <c r="BR23" s="65"/>
    </row>
    <row r="24" spans="1:70" x14ac:dyDescent="0.25">
      <c r="A24" s="220"/>
      <c r="B24" s="12" t="s">
        <v>11</v>
      </c>
      <c r="C24" s="37"/>
      <c r="D24" s="38"/>
      <c r="E24" s="38"/>
      <c r="F24" s="38"/>
      <c r="G24" s="38"/>
      <c r="H24" s="39"/>
      <c r="I24" s="38"/>
      <c r="J24" s="38"/>
      <c r="K24" s="38"/>
      <c r="L24" s="38"/>
      <c r="M24" s="38"/>
      <c r="N24" s="38"/>
      <c r="O24" s="37"/>
      <c r="P24" s="38"/>
      <c r="Q24" s="38"/>
      <c r="R24" s="38"/>
      <c r="S24" s="38"/>
      <c r="T24" s="39"/>
      <c r="U24" s="30">
        <v>1.3</v>
      </c>
      <c r="V24" s="31">
        <v>0.2</v>
      </c>
      <c r="W24" s="31">
        <v>0</v>
      </c>
      <c r="X24" s="31">
        <v>0</v>
      </c>
      <c r="Y24" s="31">
        <v>0.3</v>
      </c>
      <c r="Z24" s="32">
        <v>1.3</v>
      </c>
      <c r="AA24" s="30">
        <v>1.5</v>
      </c>
      <c r="AB24" s="31">
        <v>0.6</v>
      </c>
      <c r="AC24" s="31">
        <v>0</v>
      </c>
      <c r="AD24" s="31">
        <v>0</v>
      </c>
      <c r="AE24" s="31">
        <v>0.9</v>
      </c>
      <c r="AF24" s="32">
        <v>1.5</v>
      </c>
      <c r="AG24" s="31">
        <v>1.5</v>
      </c>
      <c r="AH24" s="31">
        <v>0.6</v>
      </c>
      <c r="AI24" s="31">
        <v>0</v>
      </c>
      <c r="AJ24" s="31">
        <v>0</v>
      </c>
      <c r="AK24" s="31">
        <v>0.9</v>
      </c>
      <c r="AL24" s="31">
        <v>1.5</v>
      </c>
      <c r="AM24" s="200">
        <v>1.7</v>
      </c>
      <c r="AN24" s="200">
        <v>0.8</v>
      </c>
      <c r="AO24" s="200">
        <v>0</v>
      </c>
      <c r="AP24" s="200">
        <v>0</v>
      </c>
      <c r="AQ24" s="200">
        <v>0.4</v>
      </c>
      <c r="AR24" s="29">
        <v>1.7</v>
      </c>
      <c r="AS24" s="28">
        <v>1.7</v>
      </c>
      <c r="AT24" s="28">
        <v>0.8</v>
      </c>
      <c r="AU24" s="28">
        <v>0</v>
      </c>
      <c r="AV24" s="28">
        <v>0</v>
      </c>
      <c r="AW24" s="28">
        <v>0.4</v>
      </c>
      <c r="AX24" s="29">
        <v>1.7</v>
      </c>
      <c r="AY24" s="16"/>
      <c r="AZ24" s="65"/>
      <c r="BA24" s="65"/>
      <c r="BB24" s="65"/>
      <c r="BC24" s="65" t="s">
        <v>156</v>
      </c>
      <c r="BD24" s="65">
        <f>AVERAGE(BD19:BD23)</f>
        <v>1.42</v>
      </c>
      <c r="BE24" s="65"/>
      <c r="BF24" s="65"/>
      <c r="BG24" s="65"/>
      <c r="BQ24" s="65"/>
      <c r="BR24" s="65"/>
    </row>
    <row r="25" spans="1:70" ht="15.75" thickBot="1" x14ac:dyDescent="0.3">
      <c r="A25" s="221"/>
      <c r="B25" s="18" t="s">
        <v>12</v>
      </c>
      <c r="C25" s="43"/>
      <c r="D25" s="44"/>
      <c r="E25" s="44"/>
      <c r="F25" s="44"/>
      <c r="G25" s="44"/>
      <c r="H25" s="45"/>
      <c r="I25" s="44"/>
      <c r="J25" s="44"/>
      <c r="K25" s="44"/>
      <c r="L25" s="44"/>
      <c r="M25" s="44"/>
      <c r="N25" s="44"/>
      <c r="O25" s="43"/>
      <c r="P25" s="44"/>
      <c r="Q25" s="44"/>
      <c r="R25" s="44"/>
      <c r="S25" s="44"/>
      <c r="T25" s="45"/>
      <c r="U25" s="22">
        <v>10</v>
      </c>
      <c r="V25" s="23"/>
      <c r="W25" s="23"/>
      <c r="X25" s="23"/>
      <c r="Y25" s="23"/>
      <c r="Z25" s="24"/>
      <c r="AA25" s="22"/>
      <c r="AB25" s="23"/>
      <c r="AC25" s="23"/>
      <c r="AD25" s="23"/>
      <c r="AE25" s="23"/>
      <c r="AF25" s="24"/>
      <c r="AG25" s="23"/>
      <c r="AH25" s="23"/>
      <c r="AI25" s="23"/>
      <c r="AJ25" s="23"/>
      <c r="AK25" s="23"/>
      <c r="AL25" s="23"/>
      <c r="AM25" s="20">
        <v>10</v>
      </c>
      <c r="AN25" s="20"/>
      <c r="AO25" s="20"/>
      <c r="AP25" s="20"/>
      <c r="AQ25" s="20"/>
      <c r="AR25" s="21"/>
      <c r="AS25" s="20">
        <v>10</v>
      </c>
      <c r="AT25" s="20"/>
      <c r="AU25" s="20"/>
      <c r="AV25" s="20"/>
      <c r="AW25" s="20"/>
      <c r="AX25" s="21"/>
      <c r="AY25" s="16"/>
    </row>
    <row r="26" spans="1:70" x14ac:dyDescent="0.25">
      <c r="A26" s="219" t="s">
        <v>19</v>
      </c>
      <c r="B26" s="12" t="s">
        <v>10</v>
      </c>
      <c r="C26" s="37"/>
      <c r="D26" s="38"/>
      <c r="E26" s="38"/>
      <c r="F26" s="38"/>
      <c r="G26" s="38"/>
      <c r="H26" s="39"/>
      <c r="I26" s="38"/>
      <c r="J26" s="38"/>
      <c r="K26" s="38"/>
      <c r="L26" s="38"/>
      <c r="M26" s="38"/>
      <c r="N26" s="38"/>
      <c r="O26" s="37"/>
      <c r="P26" s="38"/>
      <c r="Q26" s="38"/>
      <c r="R26" s="38"/>
      <c r="S26" s="38"/>
      <c r="T26" s="39"/>
      <c r="U26" s="37"/>
      <c r="V26" s="38"/>
      <c r="W26" s="38"/>
      <c r="X26" s="38"/>
      <c r="Y26" s="38"/>
      <c r="Z26" s="39"/>
      <c r="AA26" s="30">
        <v>0</v>
      </c>
      <c r="AB26" s="31">
        <v>0.1</v>
      </c>
      <c r="AC26" s="31">
        <v>1</v>
      </c>
      <c r="AD26" s="31">
        <v>2.1</v>
      </c>
      <c r="AE26" s="31">
        <v>2.9</v>
      </c>
      <c r="AF26" s="32">
        <v>3</v>
      </c>
      <c r="AG26" s="31">
        <v>0</v>
      </c>
      <c r="AH26" s="31">
        <v>0.1</v>
      </c>
      <c r="AI26" s="31">
        <v>1</v>
      </c>
      <c r="AJ26" s="31">
        <v>2.1</v>
      </c>
      <c r="AK26" s="31">
        <v>2.9</v>
      </c>
      <c r="AL26" s="31">
        <v>3.5</v>
      </c>
      <c r="AM26" s="34">
        <v>0</v>
      </c>
      <c r="AN26" s="31">
        <v>0.2</v>
      </c>
      <c r="AO26" s="34">
        <v>1</v>
      </c>
      <c r="AP26" s="34">
        <v>2.2999999999999998</v>
      </c>
      <c r="AQ26" s="31">
        <v>2.8</v>
      </c>
      <c r="AR26" s="66">
        <v>3</v>
      </c>
      <c r="AS26" s="34">
        <v>0</v>
      </c>
      <c r="AT26" s="31">
        <v>0.2</v>
      </c>
      <c r="AU26" s="34">
        <v>1</v>
      </c>
      <c r="AV26" s="34">
        <v>2.2999999999999998</v>
      </c>
      <c r="AW26" s="31">
        <v>2.8</v>
      </c>
      <c r="AX26" s="66">
        <v>3</v>
      </c>
      <c r="AY26" s="16"/>
      <c r="BB26" s="65"/>
      <c r="BC26" s="65"/>
      <c r="BD26" s="65"/>
      <c r="BE26" s="65"/>
      <c r="BF26" s="65"/>
      <c r="BG26" s="65"/>
      <c r="BQ26" s="65"/>
      <c r="BR26" s="65"/>
    </row>
    <row r="27" spans="1:70" x14ac:dyDescent="0.25">
      <c r="A27" s="220"/>
      <c r="B27" s="12" t="s">
        <v>11</v>
      </c>
      <c r="C27" s="37"/>
      <c r="D27" s="38"/>
      <c r="E27" s="38"/>
      <c r="F27" s="38"/>
      <c r="G27" s="38"/>
      <c r="H27" s="39"/>
      <c r="I27" s="38"/>
      <c r="J27" s="38"/>
      <c r="K27" s="38"/>
      <c r="L27" s="38"/>
      <c r="M27" s="38"/>
      <c r="N27" s="38"/>
      <c r="O27" s="37"/>
      <c r="P27" s="38"/>
      <c r="Q27" s="38"/>
      <c r="R27" s="38"/>
      <c r="S27" s="38"/>
      <c r="T27" s="39"/>
      <c r="U27" s="37"/>
      <c r="V27" s="38"/>
      <c r="W27" s="38"/>
      <c r="X27" s="38"/>
      <c r="Y27" s="38"/>
      <c r="Z27" s="39"/>
      <c r="AA27" s="30">
        <v>1.2</v>
      </c>
      <c r="AB27" s="31">
        <v>0.2</v>
      </c>
      <c r="AC27" s="31">
        <v>0</v>
      </c>
      <c r="AD27" s="31">
        <v>0</v>
      </c>
      <c r="AE27" s="31">
        <v>0.1</v>
      </c>
      <c r="AF27" s="32">
        <v>1.2</v>
      </c>
      <c r="AG27" s="31">
        <v>1.2</v>
      </c>
      <c r="AH27" s="31">
        <v>0.2</v>
      </c>
      <c r="AI27" s="31">
        <v>0</v>
      </c>
      <c r="AJ27" s="31">
        <v>0</v>
      </c>
      <c r="AK27" s="31">
        <v>0.1</v>
      </c>
      <c r="AL27" s="31">
        <v>1.6</v>
      </c>
      <c r="AM27" s="200">
        <v>1.8</v>
      </c>
      <c r="AN27" s="31">
        <v>0.8</v>
      </c>
      <c r="AO27" s="200">
        <v>0</v>
      </c>
      <c r="AP27" s="200">
        <v>0</v>
      </c>
      <c r="AQ27" s="31">
        <v>1</v>
      </c>
      <c r="AR27" s="67">
        <v>1.8</v>
      </c>
      <c r="AS27" s="28">
        <v>1.8</v>
      </c>
      <c r="AT27" s="31">
        <v>0.8</v>
      </c>
      <c r="AU27" s="28">
        <v>0</v>
      </c>
      <c r="AV27" s="28">
        <v>0</v>
      </c>
      <c r="AW27" s="31">
        <v>1</v>
      </c>
      <c r="AX27" s="67">
        <v>1.8</v>
      </c>
      <c r="AY27" s="28"/>
      <c r="BB27" s="65"/>
      <c r="BC27" s="65"/>
      <c r="BD27" s="65"/>
      <c r="BE27" s="65"/>
      <c r="BF27" s="65"/>
      <c r="BG27" s="65"/>
      <c r="BQ27" s="65"/>
      <c r="BR27" s="65"/>
    </row>
    <row r="28" spans="1:70" ht="15.75" thickBot="1" x14ac:dyDescent="0.3">
      <c r="A28" s="221"/>
      <c r="B28" s="12" t="s">
        <v>12</v>
      </c>
      <c r="C28" s="37"/>
      <c r="D28" s="38"/>
      <c r="E28" s="38"/>
      <c r="F28" s="38"/>
      <c r="G28" s="38"/>
      <c r="H28" s="39"/>
      <c r="I28" s="38"/>
      <c r="J28" s="38"/>
      <c r="K28" s="38"/>
      <c r="L28" s="38"/>
      <c r="M28" s="38"/>
      <c r="N28" s="38"/>
      <c r="O28" s="37"/>
      <c r="P28" s="38"/>
      <c r="Q28" s="38"/>
      <c r="R28" s="38"/>
      <c r="S28" s="38"/>
      <c r="T28" s="39"/>
      <c r="U28" s="37"/>
      <c r="V28" s="38"/>
      <c r="W28" s="38"/>
      <c r="X28" s="38"/>
      <c r="Y28" s="38"/>
      <c r="Z28" s="39"/>
      <c r="AA28" s="30">
        <v>6</v>
      </c>
      <c r="AB28" s="31"/>
      <c r="AC28" s="31"/>
      <c r="AD28" s="31"/>
      <c r="AE28" s="31"/>
      <c r="AF28" s="32"/>
      <c r="AG28" s="31">
        <v>6</v>
      </c>
      <c r="AH28" s="31"/>
      <c r="AI28" s="31"/>
      <c r="AJ28" s="31"/>
      <c r="AK28" s="31"/>
      <c r="AL28" s="31"/>
      <c r="AM28" s="201">
        <v>6</v>
      </c>
      <c r="AN28" s="200"/>
      <c r="AO28" s="200"/>
      <c r="AP28" s="200"/>
      <c r="AQ28" s="200"/>
      <c r="AR28" s="29"/>
      <c r="AS28" s="46">
        <v>6</v>
      </c>
      <c r="AT28" s="28"/>
      <c r="AU28" s="28"/>
      <c r="AV28" s="28"/>
      <c r="AW28" s="28"/>
      <c r="AX28" s="29"/>
      <c r="AY28" s="28"/>
    </row>
    <row r="29" spans="1:70" x14ac:dyDescent="0.25">
      <c r="A29" s="219" t="s">
        <v>20</v>
      </c>
      <c r="B29" s="5" t="s">
        <v>10</v>
      </c>
      <c r="C29" s="40"/>
      <c r="D29" s="41"/>
      <c r="E29" s="41"/>
      <c r="F29" s="41"/>
      <c r="G29" s="41"/>
      <c r="H29" s="42"/>
      <c r="I29" s="41"/>
      <c r="J29" s="41"/>
      <c r="K29" s="41"/>
      <c r="L29" s="41"/>
      <c r="M29" s="41"/>
      <c r="N29" s="41"/>
      <c r="O29" s="40"/>
      <c r="P29" s="41"/>
      <c r="Q29" s="41"/>
      <c r="R29" s="41"/>
      <c r="S29" s="41"/>
      <c r="T29" s="42"/>
      <c r="U29" s="40"/>
      <c r="V29" s="41"/>
      <c r="W29" s="41"/>
      <c r="X29" s="41"/>
      <c r="Y29" s="41"/>
      <c r="Z29" s="42"/>
      <c r="AA29" s="40"/>
      <c r="AB29" s="41"/>
      <c r="AC29" s="41"/>
      <c r="AD29" s="41"/>
      <c r="AE29" s="41"/>
      <c r="AF29" s="42"/>
      <c r="AG29" s="41"/>
      <c r="AH29" s="41"/>
      <c r="AI29" s="41"/>
      <c r="AJ29" s="41"/>
      <c r="AK29" s="41"/>
      <c r="AL29" s="41"/>
      <c r="AM29" s="34">
        <v>0</v>
      </c>
      <c r="AN29" s="34">
        <v>0.1</v>
      </c>
      <c r="AO29" s="34">
        <v>0.6</v>
      </c>
      <c r="AP29" s="34">
        <v>1</v>
      </c>
      <c r="AQ29" s="34">
        <v>1.3</v>
      </c>
      <c r="AR29" s="8">
        <v>1.4</v>
      </c>
      <c r="AS29" s="34">
        <v>0</v>
      </c>
      <c r="AT29" s="34">
        <v>0.1</v>
      </c>
      <c r="AU29" s="34">
        <v>0.6</v>
      </c>
      <c r="AV29" s="34">
        <v>1</v>
      </c>
      <c r="AW29" s="34">
        <v>1.3</v>
      </c>
      <c r="AX29" s="8">
        <v>1.4</v>
      </c>
      <c r="AY29" s="28"/>
    </row>
    <row r="30" spans="1:70" x14ac:dyDescent="0.25">
      <c r="A30" s="220"/>
      <c r="B30" s="12" t="s">
        <v>11</v>
      </c>
      <c r="C30" s="37"/>
      <c r="D30" s="38"/>
      <c r="E30" s="38"/>
      <c r="F30" s="38"/>
      <c r="G30" s="38"/>
      <c r="H30" s="39"/>
      <c r="I30" s="38"/>
      <c r="J30" s="38"/>
      <c r="K30" s="38"/>
      <c r="L30" s="38"/>
      <c r="M30" s="38"/>
      <c r="N30" s="38"/>
      <c r="O30" s="37"/>
      <c r="P30" s="38"/>
      <c r="Q30" s="38"/>
      <c r="R30" s="38"/>
      <c r="S30" s="38"/>
      <c r="T30" s="39"/>
      <c r="U30" s="37"/>
      <c r="V30" s="38"/>
      <c r="W30" s="38"/>
      <c r="X30" s="38"/>
      <c r="Y30" s="38"/>
      <c r="Z30" s="39"/>
      <c r="AA30" s="37"/>
      <c r="AB30" s="38"/>
      <c r="AC30" s="38"/>
      <c r="AD30" s="38"/>
      <c r="AE30" s="38"/>
      <c r="AF30" s="39"/>
      <c r="AG30" s="38"/>
      <c r="AH30" s="38"/>
      <c r="AI30" s="38"/>
      <c r="AJ30" s="38"/>
      <c r="AK30" s="38"/>
      <c r="AL30" s="38"/>
      <c r="AM30" s="200">
        <v>1.2</v>
      </c>
      <c r="AN30" s="200">
        <v>0</v>
      </c>
      <c r="AO30" s="200">
        <v>0</v>
      </c>
      <c r="AP30" s="200">
        <v>0</v>
      </c>
      <c r="AQ30" s="200">
        <v>0</v>
      </c>
      <c r="AR30" s="29">
        <v>1.8</v>
      </c>
      <c r="AS30" s="28">
        <v>1.2</v>
      </c>
      <c r="AT30" s="28">
        <v>0</v>
      </c>
      <c r="AU30" s="28">
        <v>0</v>
      </c>
      <c r="AV30" s="28">
        <v>0</v>
      </c>
      <c r="AW30" s="28">
        <v>0</v>
      </c>
      <c r="AX30" s="29">
        <v>1.8</v>
      </c>
      <c r="AY30" s="28"/>
    </row>
    <row r="31" spans="1:70" ht="15.75" thickBot="1" x14ac:dyDescent="0.3">
      <c r="A31" s="221"/>
      <c r="B31" s="18" t="s">
        <v>12</v>
      </c>
      <c r="C31" s="43"/>
      <c r="D31" s="44"/>
      <c r="E31" s="44"/>
      <c r="F31" s="44"/>
      <c r="G31" s="44"/>
      <c r="H31" s="45"/>
      <c r="I31" s="44"/>
      <c r="J31" s="44"/>
      <c r="K31" s="44"/>
      <c r="L31" s="44"/>
      <c r="M31" s="44"/>
      <c r="N31" s="44"/>
      <c r="O31" s="43"/>
      <c r="P31" s="44"/>
      <c r="Q31" s="44"/>
      <c r="R31" s="44"/>
      <c r="S31" s="44"/>
      <c r="T31" s="45"/>
      <c r="U31" s="43"/>
      <c r="V31" s="44"/>
      <c r="W31" s="44"/>
      <c r="X31" s="44"/>
      <c r="Y31" s="44"/>
      <c r="Z31" s="45"/>
      <c r="AA31" s="43"/>
      <c r="AB31" s="44"/>
      <c r="AC31" s="44"/>
      <c r="AD31" s="44"/>
      <c r="AE31" s="44"/>
      <c r="AF31" s="45"/>
      <c r="AG31" s="44"/>
      <c r="AH31" s="44"/>
      <c r="AI31" s="44"/>
      <c r="AJ31" s="44"/>
      <c r="AK31" s="44"/>
      <c r="AL31" s="44"/>
      <c r="AM31" s="20">
        <v>3</v>
      </c>
      <c r="AN31" s="20"/>
      <c r="AO31" s="20"/>
      <c r="AP31" s="20"/>
      <c r="AQ31" s="20"/>
      <c r="AR31" s="21"/>
      <c r="AS31" s="20">
        <v>3</v>
      </c>
      <c r="AT31" s="20"/>
      <c r="AU31" s="20"/>
      <c r="AV31" s="20"/>
      <c r="AW31" s="20"/>
      <c r="AX31" s="21"/>
      <c r="AY31" s="28"/>
    </row>
    <row r="33" spans="1:59" s="2" customFormat="1" x14ac:dyDescent="0.25">
      <c r="B33" s="164"/>
      <c r="C33">
        <f>(C5*D6)-(C6*D5)</f>
        <v>-1.6</v>
      </c>
      <c r="D33">
        <f t="shared" ref="D33:S33" si="28">(D5*E6)-(D6*E5)</f>
        <v>-9</v>
      </c>
      <c r="E33">
        <f t="shared" si="28"/>
        <v>0</v>
      </c>
      <c r="F33">
        <f t="shared" si="28"/>
        <v>11.61</v>
      </c>
      <c r="G33">
        <f t="shared" si="28"/>
        <v>8.5699999999999967</v>
      </c>
      <c r="H33">
        <f>(H5*C6)-(H6*C5)</f>
        <v>27.6</v>
      </c>
      <c r="I33">
        <f>(I5*J6)-(I6*J5)</f>
        <v>-1.6</v>
      </c>
      <c r="J33">
        <f t="shared" ref="J33" si="29">(J5*K6)-(J6*K5)</f>
        <v>-10.8</v>
      </c>
      <c r="K33">
        <f t="shared" ref="K33" si="30">(K5*L6)-(K6*L5)</f>
        <v>0</v>
      </c>
      <c r="L33">
        <f t="shared" ref="L33" si="31">(L5*M6)-(L6*M5)</f>
        <v>11.61</v>
      </c>
      <c r="M33">
        <f t="shared" ref="M33" si="32">(M5*N6)-(M6*N5)</f>
        <v>8.5599999999999987</v>
      </c>
      <c r="N33">
        <f>(N5*I6)-(N6*I5)</f>
        <v>28.8</v>
      </c>
      <c r="O33">
        <f>(O5*P6)-(O6*P5)</f>
        <v>-2.88</v>
      </c>
      <c r="P33">
        <f t="shared" si="28"/>
        <v>-14.28</v>
      </c>
      <c r="Q33">
        <f t="shared" si="28"/>
        <v>0</v>
      </c>
      <c r="R33">
        <f t="shared" si="28"/>
        <v>19.61</v>
      </c>
      <c r="S33">
        <f t="shared" si="28"/>
        <v>8.7199999999999918</v>
      </c>
      <c r="T33">
        <f>ABS((T5*O6)-(T6*O5))</f>
        <v>42.24</v>
      </c>
      <c r="U33">
        <f>(U5*V6)-(U6*V5)</f>
        <v>-2.5</v>
      </c>
      <c r="V33">
        <f>(V5*W6)-(V6*W5)</f>
        <v>-22.08</v>
      </c>
      <c r="W33">
        <f>(W5*X6)-(W6*X5)</f>
        <v>0</v>
      </c>
      <c r="X33">
        <f>(X5*Y6)-(X6*Y5)</f>
        <v>24.200000000000003</v>
      </c>
      <c r="Y33">
        <f>(Y5*Z6)-(Y6*Z5)</f>
        <v>5.4399999999999977</v>
      </c>
      <c r="Z33">
        <f>ABS((Z5*U6)-(Z6*U5))</f>
        <v>49.5</v>
      </c>
      <c r="AA33">
        <f>(AA5*AB6)-(AA6*AB5)</f>
        <v>-1.7150000000000001</v>
      </c>
      <c r="AB33">
        <f>(AB5*AC6)-(AB6*AC5)</f>
        <v>-19.2</v>
      </c>
      <c r="AC33">
        <f>(AC5*AD6)-(AC6*AD5)</f>
        <v>0</v>
      </c>
      <c r="AD33">
        <f>(AD5*AE6)-(AD6*AE5)</f>
        <v>21</v>
      </c>
      <c r="AE33">
        <f>(AE5*AF6)-(AE6*AF5)</f>
        <v>10</v>
      </c>
      <c r="AF33">
        <f>ABS((AF5*AA6)-(AF6*AA5))</f>
        <v>50.960000000000008</v>
      </c>
      <c r="AG33">
        <f>(AG5*AH6)-(AG6*AH5)</f>
        <v>-1.7150000000000001</v>
      </c>
      <c r="AH33">
        <f>(AH5*AI6)-(AH6*AI5)</f>
        <v>-19.2</v>
      </c>
      <c r="AI33">
        <f>(AI5*AJ6)-(AI6*AJ5)</f>
        <v>0</v>
      </c>
      <c r="AJ33">
        <f>(AJ5*AK6)-(AJ6*AK5)</f>
        <v>21</v>
      </c>
      <c r="AK33">
        <f>(AK5*AL6)-(AK6*AL5)</f>
        <v>10</v>
      </c>
      <c r="AL33">
        <f>ABS((AL5*AG6)-(AL6*AG5))</f>
        <v>50.960000000000008</v>
      </c>
      <c r="AM33">
        <f>(AM5*AN6)-(AM6*AN5)</f>
        <v>-2.04</v>
      </c>
      <c r="AN33">
        <f>(AN5*AO6)-(AN6*AO5)</f>
        <v>-22.090000000000003</v>
      </c>
      <c r="AO33">
        <f>(AO5*AP6)-(AO6*AP5)</f>
        <v>0</v>
      </c>
      <c r="AP33">
        <f>(AP5*AQ6)-(AP6*AQ5)</f>
        <v>28.200000000000003</v>
      </c>
      <c r="AQ33">
        <f>(AQ5*AR6)-(AQ6*AR5)</f>
        <v>2.0499999999999901</v>
      </c>
      <c r="AR33">
        <f>ABS((AR5*AM6)-(AR6*AM5))</f>
        <v>58.65</v>
      </c>
      <c r="AS33">
        <f>(AS5*AT6)-(AS6*AT5)</f>
        <v>-2.04</v>
      </c>
      <c r="AT33">
        <f>(AT5*AU6)-(AT6*AU5)</f>
        <v>-22.090000000000003</v>
      </c>
      <c r="AU33">
        <f>(AU5*AV6)-(AU6*AV5)</f>
        <v>0</v>
      </c>
      <c r="AV33">
        <f>(AV5*AW6)-(AV6*AW5)</f>
        <v>28.200000000000003</v>
      </c>
      <c r="AW33">
        <f>(AW5*AX6)-(AW6*AX5)</f>
        <v>2.0499999999999901</v>
      </c>
      <c r="AX33">
        <f>ABS((AX5*AS6)-(AX6*AS5))</f>
        <v>58.65</v>
      </c>
      <c r="AZ33" s="2">
        <f t="shared" ref="AZ33:AZ41" si="33">ABS(SUM(C33:H33))/2</f>
        <v>18.59</v>
      </c>
      <c r="BA33" s="2">
        <f t="shared" ref="BA33:BA41" si="34">ABS(SUM(I33:N33))/2</f>
        <v>18.285</v>
      </c>
      <c r="BB33" s="2">
        <f t="shared" ref="BB33:BB41" si="35">ABS(SUM(O33:T33))/2</f>
        <v>26.704999999999998</v>
      </c>
      <c r="BC33" s="2">
        <f t="shared" ref="BC33:BC41" si="36">ABS(SUM(U33:Z33))/2</f>
        <v>27.28</v>
      </c>
      <c r="BD33" s="2">
        <f t="shared" ref="BD33:BD41" si="37">ABS(SUM(AA33:AF33))/2</f>
        <v>30.522500000000004</v>
      </c>
      <c r="BE33" s="2">
        <f>ABS(SUM(AG33:AL33))/2</f>
        <v>30.522500000000004</v>
      </c>
      <c r="BF33" s="2">
        <f t="shared" ref="BF33:BF41" si="38">ABS(SUM(AM33:AR33))/2</f>
        <v>32.384999999999991</v>
      </c>
      <c r="BG33" s="2">
        <f t="shared" ref="BG33:BG41" si="39">ABS(SUM(AS33:AX33))/2</f>
        <v>32.384999999999991</v>
      </c>
    </row>
    <row r="34" spans="1:59" s="2" customFormat="1" x14ac:dyDescent="0.25">
      <c r="B34" s="164"/>
      <c r="C34">
        <f>(C8*D9)-(C9*D8)</f>
        <v>-1.2899999999999998</v>
      </c>
      <c r="D34">
        <f t="shared" ref="D34:S34" si="40">(D8*E9)-(D9*E8)</f>
        <v>-16</v>
      </c>
      <c r="E34">
        <f t="shared" si="40"/>
        <v>0</v>
      </c>
      <c r="F34">
        <f t="shared" si="40"/>
        <v>16.799999999999997</v>
      </c>
      <c r="G34">
        <f t="shared" si="40"/>
        <v>12.599999999999998</v>
      </c>
      <c r="H34">
        <f>(H8*C9)-(H9*C8)</f>
        <v>36.119999999999997</v>
      </c>
      <c r="I34">
        <f>(I8*J9)-(I9*J8)</f>
        <v>-1.2899999999999998</v>
      </c>
      <c r="J34">
        <f t="shared" ref="J34" si="41">(J8*K9)-(J9*K8)</f>
        <v>-16</v>
      </c>
      <c r="K34">
        <f t="shared" ref="K34" si="42">(K8*L9)-(K9*L8)</f>
        <v>0</v>
      </c>
      <c r="L34">
        <f t="shared" ref="L34" si="43">(L8*M9)-(L9*M8)</f>
        <v>16.799999999999997</v>
      </c>
      <c r="M34">
        <f t="shared" ref="M34" si="44">(M8*N9)-(M9*N8)</f>
        <v>12.599999999999998</v>
      </c>
      <c r="N34">
        <f>(N8*I9)-(N9*I8)</f>
        <v>36.119999999999997</v>
      </c>
      <c r="O34">
        <f>(O8*P9)-(O9*P8)</f>
        <v>-0.94000000000000006</v>
      </c>
      <c r="P34">
        <f t="shared" si="40"/>
        <v>-14.8</v>
      </c>
      <c r="Q34">
        <f t="shared" si="40"/>
        <v>0</v>
      </c>
      <c r="R34">
        <f t="shared" si="40"/>
        <v>18.600000000000001</v>
      </c>
      <c r="S34">
        <f t="shared" si="40"/>
        <v>15.761000000000003</v>
      </c>
      <c r="T34">
        <f>ABS((T8*O9)-(T9*O8))</f>
        <v>40.326000000000001</v>
      </c>
      <c r="U34">
        <f>(U8*V9)-(U9*V8)</f>
        <v>-1.25</v>
      </c>
      <c r="V34">
        <f>(V8*W9)-(V9*W8)</f>
        <v>-21.599999999999998</v>
      </c>
      <c r="W34">
        <f>(W8*X9)-(W9*X8)</f>
        <v>0</v>
      </c>
      <c r="X34">
        <f>(X8*Y9)-(X9*Y8)</f>
        <v>32.9</v>
      </c>
      <c r="Y34">
        <f>(Y8*Z9)-(Y9*Z8)</f>
        <v>2.1539999999999964</v>
      </c>
      <c r="Z34">
        <f>ABS((Z8*U9)-(Z9*U8))</f>
        <v>50.9</v>
      </c>
      <c r="AA34">
        <f>(AA8*AB9)-(AA9*AB8)</f>
        <v>-2</v>
      </c>
      <c r="AB34">
        <f>(AB8*AC9)-(AB9*AC8)</f>
        <v>-17.28</v>
      </c>
      <c r="AC34">
        <f>(AC8*AD9)-(AC9*AD8)</f>
        <v>0</v>
      </c>
      <c r="AD34">
        <f>(AD8*AE9)-(AD9*AE8)</f>
        <v>31.5</v>
      </c>
      <c r="AE34">
        <f>(AE8*AF9)-(AE9*AF8)</f>
        <v>3.875</v>
      </c>
      <c r="AF34">
        <f>ABS((AF8*AA9)-(AF9*AA8))</f>
        <v>51.25</v>
      </c>
      <c r="AG34">
        <f>(AG8*AH9)-(AG9*AH8)</f>
        <v>-2</v>
      </c>
      <c r="AH34">
        <f>(AH8*AI9)-(AH9*AI8)</f>
        <v>-17.28</v>
      </c>
      <c r="AI34">
        <f>(AI8*AJ9)-(AI9*AJ8)</f>
        <v>0</v>
      </c>
      <c r="AJ34">
        <f>(AJ8*AK9)-(AJ9*AK8)</f>
        <v>31.5</v>
      </c>
      <c r="AK34">
        <f>(AK8*AL9)-(AK9*AL8)</f>
        <v>3.875</v>
      </c>
      <c r="AL34">
        <f>ABS((AL8*AG9)-(AL9*AG8))</f>
        <v>51.25</v>
      </c>
      <c r="AM34">
        <f>(AM8*AN9)-(AM9*AN8)</f>
        <v>-1.5299999999999998</v>
      </c>
      <c r="AN34">
        <f>(AN8*AO9)-(AN9*AO8)</f>
        <v>-8</v>
      </c>
      <c r="AO34">
        <f>(AO8*AP9)-(AO9*AP8)</f>
        <v>0</v>
      </c>
      <c r="AP34">
        <f>(AP8*AQ9)-(AP9*AQ8)</f>
        <v>26.64</v>
      </c>
      <c r="AQ34">
        <f>(AQ8*AR9)-(AQ9*AR8)</f>
        <v>15.219999999999999</v>
      </c>
      <c r="AR34">
        <f>ABS((AR8*AM9)-(AR9*AM8))</f>
        <v>59.16</v>
      </c>
      <c r="AS34">
        <f>(AS8*AT9)-(AS9*AT8)</f>
        <v>-1.5299999999999998</v>
      </c>
      <c r="AT34">
        <f>(AT8*AU9)-(AT9*AU8)</f>
        <v>-8</v>
      </c>
      <c r="AU34">
        <f>(AU8*AV9)-(AU9*AV8)</f>
        <v>0</v>
      </c>
      <c r="AV34">
        <f>(AV8*AW9)-(AV9*AW8)</f>
        <v>26.64</v>
      </c>
      <c r="AW34">
        <f>(AW8*AX9)-(AW9*AX8)</f>
        <v>15.219999999999999</v>
      </c>
      <c r="AX34">
        <f>ABS((AX8*AS9)-(AX9*AS8))</f>
        <v>59.16</v>
      </c>
      <c r="AZ34" s="2">
        <f t="shared" si="33"/>
        <v>24.114999999999995</v>
      </c>
      <c r="BA34" s="2">
        <f t="shared" si="34"/>
        <v>24.114999999999995</v>
      </c>
      <c r="BB34" s="2">
        <f t="shared" si="35"/>
        <v>29.473500000000001</v>
      </c>
      <c r="BC34" s="2">
        <f t="shared" si="36"/>
        <v>31.552</v>
      </c>
      <c r="BD34" s="2">
        <f t="shared" si="37"/>
        <v>33.672499999999999</v>
      </c>
      <c r="BE34" s="2">
        <f t="shared" ref="BE34:BE41" si="45">ABS(SUM(AG34:AL34))/2</f>
        <v>33.672499999999999</v>
      </c>
      <c r="BF34" s="2">
        <f t="shared" si="38"/>
        <v>45.744999999999997</v>
      </c>
      <c r="BG34" s="2">
        <f t="shared" si="39"/>
        <v>45.744999999999997</v>
      </c>
    </row>
    <row r="35" spans="1:59" s="2" customFormat="1" x14ac:dyDescent="0.25">
      <c r="B35" s="164"/>
      <c r="C35">
        <f>(C11*D12)-(C12*D11)</f>
        <v>-1.6</v>
      </c>
      <c r="D35">
        <f t="shared" ref="D35:S35" si="46">(D11*E12)-(D12*E11)</f>
        <v>-7.2</v>
      </c>
      <c r="E35">
        <f t="shared" si="46"/>
        <v>0</v>
      </c>
      <c r="F35">
        <f t="shared" si="46"/>
        <v>12</v>
      </c>
      <c r="G35">
        <f t="shared" si="46"/>
        <v>7.2999999999999972</v>
      </c>
      <c r="H35">
        <f>(H11*C12)-(H12*C11)</f>
        <v>30.8</v>
      </c>
      <c r="I35">
        <f>(I11*J12)-(I12*J11)</f>
        <v>-1.6</v>
      </c>
      <c r="J35">
        <f t="shared" ref="J35" si="47">(J11*K12)-(J12*K11)</f>
        <v>-7.2</v>
      </c>
      <c r="K35">
        <f t="shared" ref="K35" si="48">(K11*L12)-(K12*L11)</f>
        <v>0</v>
      </c>
      <c r="L35">
        <f t="shared" ref="L35" si="49">(L11*M12)-(L12*M11)</f>
        <v>12</v>
      </c>
      <c r="M35">
        <f t="shared" ref="M35" si="50">(M11*N12)-(M12*N11)</f>
        <v>7.2999999999999972</v>
      </c>
      <c r="N35">
        <f>(N11*I12)-(N12*I11)</f>
        <v>30.8</v>
      </c>
      <c r="O35">
        <f>(O11*P12)-(O12*P11)</f>
        <v>-0.9</v>
      </c>
      <c r="P35">
        <f t="shared" si="46"/>
        <v>-8</v>
      </c>
      <c r="Q35">
        <f t="shared" si="46"/>
        <v>0</v>
      </c>
      <c r="R35">
        <f t="shared" si="46"/>
        <v>14.835000000000001</v>
      </c>
      <c r="S35">
        <f t="shared" si="46"/>
        <v>7.8149999999999906</v>
      </c>
      <c r="T35">
        <f>ABS((T11*O12)-(T12*O11))</f>
        <v>37.35</v>
      </c>
      <c r="U35">
        <f>(U11*V12)-(U12*V11)</f>
        <v>-1.41</v>
      </c>
      <c r="V35">
        <f>(V11*W12)-(V12*W11)</f>
        <v>-8.8000000000000007</v>
      </c>
      <c r="W35">
        <f>(W11*X12)-(W12*X11)</f>
        <v>0</v>
      </c>
      <c r="X35">
        <f>(X11*Y12)-(X12*Y11)</f>
        <v>19</v>
      </c>
      <c r="Y35">
        <f>(Y11*Z12)-(Y12*Z11)</f>
        <v>7.3600000000000065</v>
      </c>
      <c r="Z35">
        <f>ABS((Z11*U12)-(Z12*U11))</f>
        <v>40.89</v>
      </c>
      <c r="AA35">
        <f>(AA11*AB12)-(AA12*AB11)</f>
        <v>-4.7</v>
      </c>
      <c r="AB35">
        <f>(AB11*AC12)-(AB12*AC11)</f>
        <v>-4.5999999999999996</v>
      </c>
      <c r="AC35">
        <f>(AC11*AD12)-(AC12*AD11)</f>
        <v>0</v>
      </c>
      <c r="AD35">
        <f>(AD11*AE12)-(AD12*AE11)</f>
        <v>16.5</v>
      </c>
      <c r="AE35">
        <f>(AE11*AF12)-(AE12*AF11)</f>
        <v>11.240000000000006</v>
      </c>
      <c r="AF35">
        <f>ABS((AF11*AA12)-(AF12*AA11))</f>
        <v>40.89</v>
      </c>
      <c r="AG35">
        <f>(AG11*AH12)-(AG12*AH11)</f>
        <v>-4.7</v>
      </c>
      <c r="AH35">
        <f>(AH11*AI12)-(AH12*AI11)</f>
        <v>-4.5999999999999996</v>
      </c>
      <c r="AI35">
        <f>(AI11*AJ12)-(AI12*AJ11)</f>
        <v>0</v>
      </c>
      <c r="AJ35">
        <f>(AJ11*AK12)-(AJ12*AK11)</f>
        <v>16.5</v>
      </c>
      <c r="AK35">
        <f>(AK11*AL12)-(AK12*AL11)</f>
        <v>11.240000000000006</v>
      </c>
      <c r="AL35">
        <f>ABS((AL11*AG12)-(AL12*AG11))</f>
        <v>40.89</v>
      </c>
      <c r="AM35">
        <f>(AM11*AN12)-(AM12*AN11)</f>
        <v>-0.94000000000000006</v>
      </c>
      <c r="AN35">
        <f>(AN11*AO12)-(AN12*AO11)</f>
        <v>-10.36</v>
      </c>
      <c r="AO35">
        <f>(AO11*AP12)-(AO12*AP11)</f>
        <v>0</v>
      </c>
      <c r="AP35">
        <f>(AP11*AQ12)-(AP12*AQ11)</f>
        <v>24.36</v>
      </c>
      <c r="AQ35">
        <f>(AQ11*AR12)-(AQ12*AR11)</f>
        <v>3.5600000000000023</v>
      </c>
      <c r="AR35">
        <f>ABS((AR11*AM12)-(AR12*AM11))</f>
        <v>42.300000000000004</v>
      </c>
      <c r="AS35">
        <f>(AS11*AT12)-(AS12*AT11)</f>
        <v>-0.94000000000000006</v>
      </c>
      <c r="AT35">
        <f>(AT11*AU12)-(AT12*AU11)</f>
        <v>-10.36</v>
      </c>
      <c r="AU35">
        <f>(AU11*AV12)-(AU12*AV11)</f>
        <v>0</v>
      </c>
      <c r="AV35">
        <f>(AV11*AW12)-(AV12*AW11)</f>
        <v>24.36</v>
      </c>
      <c r="AW35">
        <f>(AW11*AX12)-(AW12*AX11)</f>
        <v>3.5600000000000023</v>
      </c>
      <c r="AX35">
        <f>ABS((AX11*AS12)-(AX12*AS11))</f>
        <v>42.300000000000004</v>
      </c>
      <c r="AZ35" s="2">
        <f t="shared" si="33"/>
        <v>20.65</v>
      </c>
      <c r="BA35" s="2">
        <f t="shared" si="34"/>
        <v>20.65</v>
      </c>
      <c r="BB35" s="2">
        <f t="shared" si="35"/>
        <v>25.549999999999997</v>
      </c>
      <c r="BC35" s="2">
        <f t="shared" si="36"/>
        <v>28.520000000000003</v>
      </c>
      <c r="BD35" s="2">
        <f t="shared" si="37"/>
        <v>29.665000000000003</v>
      </c>
      <c r="BE35" s="2">
        <f t="shared" si="45"/>
        <v>29.665000000000003</v>
      </c>
      <c r="BF35" s="2">
        <f t="shared" si="38"/>
        <v>29.460000000000004</v>
      </c>
      <c r="BG35" s="2">
        <f t="shared" si="39"/>
        <v>29.460000000000004</v>
      </c>
    </row>
    <row r="36" spans="1:59" s="2" customFormat="1" x14ac:dyDescent="0.25">
      <c r="B36" s="164"/>
      <c r="C36">
        <f>(C14*D15)-(C15*D14)</f>
        <v>-0.36000000000000004</v>
      </c>
      <c r="D36">
        <f t="shared" ref="D36:S36" si="51">(D14*E15)-(D15*E14)</f>
        <v>-3</v>
      </c>
      <c r="E36">
        <f t="shared" si="51"/>
        <v>0</v>
      </c>
      <c r="F36">
        <f t="shared" si="51"/>
        <v>7.839999999999999</v>
      </c>
      <c r="G36">
        <f t="shared" si="51"/>
        <v>2.84</v>
      </c>
      <c r="H36">
        <f>(H14*C15)-(H15*C14)</f>
        <v>14.4</v>
      </c>
      <c r="I36">
        <f>(I14*J15)-(I15*J14)</f>
        <v>-0.36000000000000004</v>
      </c>
      <c r="J36">
        <f t="shared" ref="J36" si="52">(J14*K15)-(J15*K14)</f>
        <v>-9</v>
      </c>
      <c r="K36">
        <f t="shared" ref="K36" si="53">(K14*L15)-(K15*L14)</f>
        <v>0</v>
      </c>
      <c r="L36">
        <f t="shared" ref="L36" si="54">(L14*M15)-(L15*M14)</f>
        <v>11.76</v>
      </c>
      <c r="M36">
        <f t="shared" ref="M36" si="55">(M14*N15)-(M15*N14)</f>
        <v>4.6400000000000041</v>
      </c>
      <c r="N36">
        <f>(N14*I15)-(N15*I14)</f>
        <v>24.12</v>
      </c>
      <c r="O36">
        <f>(O14*P15)-(O15*P14)</f>
        <v>-0.84000000000000008</v>
      </c>
      <c r="P36">
        <f t="shared" si="51"/>
        <v>-9.8999999999999986</v>
      </c>
      <c r="Q36">
        <f t="shared" si="51"/>
        <v>0</v>
      </c>
      <c r="R36">
        <f t="shared" si="51"/>
        <v>16.920000000000002</v>
      </c>
      <c r="S36">
        <f t="shared" si="51"/>
        <v>4.1160000000000032</v>
      </c>
      <c r="T36">
        <f>ABS((T14*O15)-(T15*O14))</f>
        <v>34.397999999999996</v>
      </c>
      <c r="U36">
        <f>(U14*V15)-(U15*V14)</f>
        <v>-0.8</v>
      </c>
      <c r="V36">
        <f>(V14*W15)-(V15*W14)</f>
        <v>-14.62</v>
      </c>
      <c r="W36">
        <f>(W14*X15)-(W15*X14)</f>
        <v>0</v>
      </c>
      <c r="X36">
        <f>(X14*Y15)-(X15*Y14)</f>
        <v>19.52</v>
      </c>
      <c r="Y36">
        <f>(Y14*Z15)-(Y15*Z14)</f>
        <v>7.9200000000000017</v>
      </c>
      <c r="Z36">
        <f>ABS((Z14*U15)-(Z15*U14))</f>
        <v>41.6</v>
      </c>
      <c r="AA36">
        <f>(AA14*AB15)-(AA15*AB14)</f>
        <v>-1.38</v>
      </c>
      <c r="AB36">
        <f>(AB14*AC15)-(AB15*AC14)</f>
        <v>-16.5</v>
      </c>
      <c r="AC36">
        <f>(AC14*AD15)-(AC15*AD14)</f>
        <v>0</v>
      </c>
      <c r="AD36">
        <f>(AD14*AE15)-(AD15*AE14)</f>
        <v>28</v>
      </c>
      <c r="AE36">
        <f>(AE14*AF15)-(AE15*AF14)</f>
        <v>5.8599999999999923</v>
      </c>
      <c r="AF36">
        <f>ABS((AF14*AA15)-(AF15*AA14))</f>
        <v>51.98</v>
      </c>
      <c r="AG36">
        <f>(AG14*AH15)-(AG15*AH14)</f>
        <v>-1.38</v>
      </c>
      <c r="AH36">
        <f>(AH14*AI15)-(AH15*AI14)</f>
        <v>-16.5</v>
      </c>
      <c r="AI36">
        <f>(AI14*AJ15)-(AI15*AJ14)</f>
        <v>0</v>
      </c>
      <c r="AJ36">
        <f>(AJ14*AK15)-(AJ15*AK14)</f>
        <v>28</v>
      </c>
      <c r="AK36">
        <f>(AK14*AL15)-(AK15*AL14)</f>
        <v>5.8599999999999923</v>
      </c>
      <c r="AL36">
        <f>ABS((AL14*AG15)-(AL15*AG14))</f>
        <v>51.98</v>
      </c>
      <c r="AM36">
        <f>(AM14*AN15)-(AM15*AN14)</f>
        <v>-1.41</v>
      </c>
      <c r="AN36">
        <f>(AN14*AO15)-(AN15*AO14)</f>
        <v>-20</v>
      </c>
      <c r="AO36">
        <f>(AO14*AP15)-(AO15*AP14)</f>
        <v>0</v>
      </c>
      <c r="AP36">
        <f>(AP14*AQ15)-(AP15*AQ14)</f>
        <v>26.599999999999998</v>
      </c>
      <c r="AQ36">
        <f>(AQ14*AR15)-(AQ15*AR14)</f>
        <v>10.330000000000013</v>
      </c>
      <c r="AR36">
        <f>ABS((AR14*AM15)-(AR15*AM14))</f>
        <v>56.400000000000006</v>
      </c>
      <c r="AS36">
        <f>(AS14*AT15)-(AS15*AT14)</f>
        <v>-1.41</v>
      </c>
      <c r="AT36">
        <f>(AT14*AU15)-(AT15*AU14)</f>
        <v>-20</v>
      </c>
      <c r="AU36">
        <f>(AU14*AV15)-(AU15*AV14)</f>
        <v>0</v>
      </c>
      <c r="AV36">
        <f>(AV14*AW15)-(AV15*AW14)</f>
        <v>26.599999999999998</v>
      </c>
      <c r="AW36">
        <f>(AW14*AX15)-(AW15*AX14)</f>
        <v>10.330000000000013</v>
      </c>
      <c r="AX36">
        <f>ABS((AX14*AS15)-(AX15*AS14))</f>
        <v>56.400000000000006</v>
      </c>
      <c r="AZ36" s="2">
        <f t="shared" si="33"/>
        <v>10.86</v>
      </c>
      <c r="BA36" s="2">
        <f t="shared" si="34"/>
        <v>15.580000000000002</v>
      </c>
      <c r="BB36" s="2">
        <f t="shared" si="35"/>
        <v>22.347000000000001</v>
      </c>
      <c r="BC36" s="2">
        <f t="shared" si="36"/>
        <v>26.810000000000002</v>
      </c>
      <c r="BD36" s="2">
        <f t="shared" si="37"/>
        <v>33.979999999999997</v>
      </c>
      <c r="BE36" s="2">
        <f t="shared" si="45"/>
        <v>33.979999999999997</v>
      </c>
      <c r="BF36" s="2">
        <f t="shared" si="38"/>
        <v>35.960000000000008</v>
      </c>
      <c r="BG36" s="2">
        <f t="shared" si="39"/>
        <v>35.960000000000008</v>
      </c>
    </row>
    <row r="37" spans="1:59" s="2" customFormat="1" x14ac:dyDescent="0.25">
      <c r="B37" s="164"/>
      <c r="C37">
        <f>(C17*D18)-(C18*D17)</f>
        <v>-0.18000000000000002</v>
      </c>
      <c r="D37">
        <f t="shared" ref="D37:S37" si="56">(D17*E18)-(D18*E17)</f>
        <v>-0.89999999999999991</v>
      </c>
      <c r="E37">
        <f t="shared" si="56"/>
        <v>0</v>
      </c>
      <c r="F37">
        <f t="shared" si="56"/>
        <v>1</v>
      </c>
      <c r="G37">
        <f t="shared" si="56"/>
        <v>5.42</v>
      </c>
      <c r="H37">
        <f>(H17*C18)-(H18*C17)</f>
        <v>7.2</v>
      </c>
      <c r="I37">
        <f>(I17*J18)-(I18*J17)</f>
        <v>-0.18000000000000002</v>
      </c>
      <c r="J37">
        <f t="shared" ref="J37" si="57">(J17*K18)-(J18*K17)</f>
        <v>-1.5</v>
      </c>
      <c r="K37">
        <f t="shared" ref="K37" si="58">(K17*L18)-(K18*L17)</f>
        <v>0</v>
      </c>
      <c r="L37">
        <f t="shared" ref="L37" si="59">(L17*M18)-(L18*M17)</f>
        <v>1.2000000000000002</v>
      </c>
      <c r="M37">
        <f t="shared" ref="M37" si="60">(M17*N18)-(M18*N17)</f>
        <v>6.9600000000000009</v>
      </c>
      <c r="N37">
        <f>(N17*I18)-(N18*I17)</f>
        <v>10.8</v>
      </c>
      <c r="O37">
        <f>(O17*P18)-(O18*P17)</f>
        <v>-0.44000000000000006</v>
      </c>
      <c r="P37">
        <f t="shared" si="56"/>
        <v>-2.5499999999999998</v>
      </c>
      <c r="Q37">
        <f t="shared" si="56"/>
        <v>0</v>
      </c>
      <c r="R37">
        <f t="shared" si="56"/>
        <v>4</v>
      </c>
      <c r="S37">
        <f t="shared" si="56"/>
        <v>9.4000000000000021</v>
      </c>
      <c r="T37">
        <f>ABS((T17*O18)-(T18*O17))</f>
        <v>18.04</v>
      </c>
      <c r="U37">
        <f>(U17*V18)-(U18*V17)</f>
        <v>-0.60000000000000009</v>
      </c>
      <c r="V37">
        <f>(V17*W18)-(V18*W17)</f>
        <v>-5.2</v>
      </c>
      <c r="W37">
        <f>(W17*X18)-(W18*X17)</f>
        <v>0</v>
      </c>
      <c r="X37">
        <f>(X17*Y18)-(X18*Y17)</f>
        <v>10.8</v>
      </c>
      <c r="Y37">
        <f>(Y17*Z18)-(Y18*Z17)</f>
        <v>10.100000000000001</v>
      </c>
      <c r="Z37">
        <f>ABS((Z17*U18)-(Z18*U17))</f>
        <v>31.200000000000003</v>
      </c>
      <c r="AA37">
        <f>(AA17*AB18)-(AA18*AB17)</f>
        <v>-0.75900000000000001</v>
      </c>
      <c r="AB37">
        <f>(AB17*AC18)-(AB18*AC17)</f>
        <v>-4.8</v>
      </c>
      <c r="AC37">
        <f>(AC17*AD18)-(AC18*AD17)</f>
        <v>0</v>
      </c>
      <c r="AD37">
        <f>(AD17*AE18)-(AD18*AE17)</f>
        <v>8.68</v>
      </c>
      <c r="AE37">
        <f>(AE17*AF18)-(AE18*AF17)</f>
        <v>20.479999999999997</v>
      </c>
      <c r="AF37">
        <f>ABS((AF17*AA18)-(AF18*AA17))</f>
        <v>37.29</v>
      </c>
      <c r="AG37">
        <f>(AG17*AH18)-(AG18*AH17)</f>
        <v>-0.75900000000000001</v>
      </c>
      <c r="AH37">
        <f>(AH17*AI18)-(AH18*AI17)</f>
        <v>-4.8</v>
      </c>
      <c r="AI37">
        <f>(AI17*AJ18)-(AI18*AJ17)</f>
        <v>0</v>
      </c>
      <c r="AJ37">
        <f>(AJ17*AK18)-(AJ18*AK17)</f>
        <v>8.68</v>
      </c>
      <c r="AK37">
        <f>(AK17*AL18)-(AK18*AL17)</f>
        <v>20.479999999999997</v>
      </c>
      <c r="AL37">
        <f>ABS((AL17*AG18)-(AL18*AG17))</f>
        <v>37.29</v>
      </c>
      <c r="AM37">
        <f>(AM17*AN18)-(AM18*AN17)</f>
        <v>-1.4800000000000002</v>
      </c>
      <c r="AN37">
        <f>(AN17*AO18)-(AN18*AO17)</f>
        <v>-13.44</v>
      </c>
      <c r="AO37">
        <f>(AO17*AP18)-(AO18*AP17)</f>
        <v>0</v>
      </c>
      <c r="AP37">
        <f>(AP17*AQ18)-(AP18*AQ17)</f>
        <v>18.2</v>
      </c>
      <c r="AQ37">
        <f>(AQ17*AR18)-(AQ18*AR17)</f>
        <v>12.089999999999996</v>
      </c>
      <c r="AR37">
        <f>ABS((AR17*AM18)-(AR18*AM17))</f>
        <v>44.400000000000006</v>
      </c>
      <c r="AS37">
        <f>(AS17*AT18)-(AS18*AT17)</f>
        <v>-1.4800000000000002</v>
      </c>
      <c r="AT37">
        <f>(AT17*AU18)-(AT18*AU17)</f>
        <v>-13.44</v>
      </c>
      <c r="AU37">
        <f>(AU17*AV18)-(AU18*AV17)</f>
        <v>0</v>
      </c>
      <c r="AV37">
        <f>(AV17*AW18)-(AV18*AW17)</f>
        <v>18.2</v>
      </c>
      <c r="AW37">
        <f>(AW17*AX18)-(AW18*AX17)</f>
        <v>12.089999999999996</v>
      </c>
      <c r="AX37">
        <f>ABS((AX17*AS18)-(AX18*AS17))</f>
        <v>44.400000000000006</v>
      </c>
      <c r="AZ37" s="2">
        <f t="shared" si="33"/>
        <v>6.27</v>
      </c>
      <c r="BA37" s="2">
        <f t="shared" si="34"/>
        <v>8.64</v>
      </c>
      <c r="BB37" s="2">
        <f t="shared" si="35"/>
        <v>14.225000000000001</v>
      </c>
      <c r="BC37" s="2">
        <f t="shared" si="36"/>
        <v>23.150000000000002</v>
      </c>
      <c r="BD37" s="2">
        <f t="shared" si="37"/>
        <v>30.445499999999996</v>
      </c>
      <c r="BE37" s="2">
        <f t="shared" si="45"/>
        <v>30.445499999999996</v>
      </c>
      <c r="BF37" s="2">
        <f t="shared" si="38"/>
        <v>29.885000000000002</v>
      </c>
      <c r="BG37" s="2">
        <f t="shared" si="39"/>
        <v>29.885000000000002</v>
      </c>
    </row>
    <row r="38" spans="1:59" s="2" customFormat="1" x14ac:dyDescent="0.25">
      <c r="B38" s="164"/>
      <c r="C38">
        <f>(C20*D21)-(C21*D20)</f>
        <v>0</v>
      </c>
      <c r="D38">
        <f t="shared" ref="D38:S38" si="61">(D20*E21)-(D21*E20)</f>
        <v>0</v>
      </c>
      <c r="E38">
        <f t="shared" si="61"/>
        <v>0</v>
      </c>
      <c r="F38">
        <f t="shared" si="61"/>
        <v>0</v>
      </c>
      <c r="G38">
        <f t="shared" si="61"/>
        <v>0</v>
      </c>
      <c r="H38">
        <f>(H20*C21)-(H21*C20)</f>
        <v>0</v>
      </c>
      <c r="I38">
        <f>(I20*J21)-(I21*J20)</f>
        <v>0</v>
      </c>
      <c r="J38">
        <f t="shared" ref="J38" si="62">(J20*K21)-(J21*K20)</f>
        <v>0</v>
      </c>
      <c r="K38">
        <f t="shared" ref="K38" si="63">(K20*L21)-(K21*L20)</f>
        <v>0</v>
      </c>
      <c r="L38">
        <f t="shared" ref="L38" si="64">(L20*M21)-(L21*M20)</f>
        <v>0</v>
      </c>
      <c r="M38">
        <f t="shared" ref="M38" si="65">(M20*N21)-(M21*N20)</f>
        <v>0</v>
      </c>
      <c r="N38">
        <f>(N20*I21)-(N21*I20)</f>
        <v>0</v>
      </c>
      <c r="O38">
        <f>(O20*P21)-(O21*P20)</f>
        <v>-0.1</v>
      </c>
      <c r="P38">
        <f t="shared" si="61"/>
        <v>-0.12</v>
      </c>
      <c r="Q38">
        <f t="shared" si="61"/>
        <v>0</v>
      </c>
      <c r="R38">
        <f t="shared" si="61"/>
        <v>0.2</v>
      </c>
      <c r="S38">
        <f t="shared" si="61"/>
        <v>2.5999999999999996</v>
      </c>
      <c r="T38">
        <f>ABS((T20*O21)-(T21*O20))</f>
        <v>3</v>
      </c>
      <c r="U38">
        <f>(U20*V21)-(U21*V20)</f>
        <v>-0.27999999999999997</v>
      </c>
      <c r="V38">
        <f>(V20*W21)-(V21*W20)</f>
        <v>-0.4</v>
      </c>
      <c r="W38">
        <f>(W20*X21)-(W21*X20)</f>
        <v>0</v>
      </c>
      <c r="X38">
        <f>(X20*Y21)-(X21*Y20)</f>
        <v>1.68</v>
      </c>
      <c r="Y38">
        <f>(Y20*Z21)-(Y21*Z20)</f>
        <v>2.7600000000000002</v>
      </c>
      <c r="Z38">
        <f>ABS((Z20*U21)-(Z21*U20))</f>
        <v>5.3199999999999994</v>
      </c>
      <c r="AA38">
        <f>(AA20*AB21)-(AA21*AB20)</f>
        <v>-0.48</v>
      </c>
      <c r="AB38">
        <f>(AB20*AC21)-(AB21*AC20)</f>
        <v>-1</v>
      </c>
      <c r="AC38">
        <f>(AC20*AD21)-(AC21*AD20)</f>
        <v>0</v>
      </c>
      <c r="AD38">
        <f>(AD20*AE21)-(AD21*AE20)</f>
        <v>2.7</v>
      </c>
      <c r="AE38">
        <f>(AE20*AF21)-(AE21*AF20)</f>
        <v>2.3200000000000007</v>
      </c>
      <c r="AF38">
        <f>ABS((AF20*AA21)-(AF21*AA20))</f>
        <v>6.4</v>
      </c>
      <c r="AG38">
        <f>(AG20*AH21)-(AG21*AH20)</f>
        <v>-0.48</v>
      </c>
      <c r="AH38">
        <f>(AH20*AI21)-(AH21*AI20)</f>
        <v>-1</v>
      </c>
      <c r="AI38">
        <f>(AI20*AJ21)-(AI21*AJ20)</f>
        <v>0</v>
      </c>
      <c r="AJ38">
        <f>(AJ20*AK21)-(AJ21*AK20)</f>
        <v>2.7</v>
      </c>
      <c r="AK38">
        <f>(AK20*AL21)-(AK21*AL20)</f>
        <v>2.3200000000000007</v>
      </c>
      <c r="AL38">
        <f>ABS((AL20*AG21)-(AL21*AG20))</f>
        <v>6.4</v>
      </c>
      <c r="AM38">
        <f>(AM20*AN21)-(AM21*AN20)</f>
        <v>-0.48</v>
      </c>
      <c r="AN38">
        <f>(AN20*AO21)-(AN21*AO20)</f>
        <v>-1.1700000000000002</v>
      </c>
      <c r="AO38">
        <f>(AO20*AP21)-(AO21*AP20)</f>
        <v>0</v>
      </c>
      <c r="AP38">
        <f>(AP20*AQ21)-(AP21*AQ20)</f>
        <v>4.5</v>
      </c>
      <c r="AQ38">
        <f>(AQ20*AR21)-(AQ21*AR20)</f>
        <v>2.9400000000000004</v>
      </c>
      <c r="AR38">
        <f>ABS((AR20*AM21)-(AR21*AM20))</f>
        <v>9.120000000000001</v>
      </c>
      <c r="AS38">
        <f>(AS20*AT21)-(AS21*AT20)</f>
        <v>-0.48</v>
      </c>
      <c r="AT38">
        <f>(AT20*AU21)-(AT21*AU20)</f>
        <v>-1.1700000000000002</v>
      </c>
      <c r="AU38">
        <f>(AU20*AV21)-(AU21*AV20)</f>
        <v>0</v>
      </c>
      <c r="AV38">
        <f>(AV20*AW21)-(AV21*AW20)</f>
        <v>4.5</v>
      </c>
      <c r="AW38">
        <f>(AW20*AX21)-(AW21*AX20)</f>
        <v>2.9400000000000004</v>
      </c>
      <c r="AX38">
        <f>ABS((AX20*AS21)-(AX21*AS20))</f>
        <v>9.120000000000001</v>
      </c>
      <c r="AZ38" s="2">
        <f t="shared" si="33"/>
        <v>0</v>
      </c>
      <c r="BA38" s="2">
        <f t="shared" si="34"/>
        <v>0</v>
      </c>
      <c r="BB38" s="2">
        <f t="shared" si="35"/>
        <v>2.79</v>
      </c>
      <c r="BC38" s="2">
        <f t="shared" si="36"/>
        <v>4.54</v>
      </c>
      <c r="BD38" s="2">
        <f t="shared" si="37"/>
        <v>4.9700000000000006</v>
      </c>
      <c r="BE38" s="2">
        <f t="shared" si="45"/>
        <v>4.9700000000000006</v>
      </c>
      <c r="BF38" s="2">
        <f t="shared" si="38"/>
        <v>7.4550000000000001</v>
      </c>
      <c r="BG38" s="2">
        <f t="shared" si="39"/>
        <v>7.4550000000000001</v>
      </c>
    </row>
    <row r="39" spans="1:59" s="2" customFormat="1" x14ac:dyDescent="0.25">
      <c r="B39" s="164"/>
      <c r="C39">
        <f>(C23*D24)-(C24*D23)</f>
        <v>0</v>
      </c>
      <c r="D39">
        <f t="shared" ref="D39:S39" si="66">(D23*E24)-(D24*E23)</f>
        <v>0</v>
      </c>
      <c r="E39">
        <f t="shared" si="66"/>
        <v>0</v>
      </c>
      <c r="F39">
        <f t="shared" si="66"/>
        <v>0</v>
      </c>
      <c r="G39">
        <f t="shared" si="66"/>
        <v>0</v>
      </c>
      <c r="H39">
        <f>(H23*C24)-(H24*C23)</f>
        <v>0</v>
      </c>
      <c r="I39">
        <f>(I23*J24)-(I24*J23)</f>
        <v>0</v>
      </c>
      <c r="J39">
        <f t="shared" ref="J39" si="67">(J23*K24)-(J24*K23)</f>
        <v>0</v>
      </c>
      <c r="K39">
        <f t="shared" ref="K39" si="68">(K23*L24)-(K24*L23)</f>
        <v>0</v>
      </c>
      <c r="L39">
        <f t="shared" ref="L39" si="69">(L23*M24)-(L24*M23)</f>
        <v>0</v>
      </c>
      <c r="M39">
        <f t="shared" ref="M39" si="70">(M23*N24)-(M24*N23)</f>
        <v>0</v>
      </c>
      <c r="N39">
        <f>(N23*I24)-(N24*I23)</f>
        <v>0</v>
      </c>
      <c r="O39">
        <f>(O23*P24)-(O24*P23)</f>
        <v>0</v>
      </c>
      <c r="P39">
        <f t="shared" si="66"/>
        <v>0</v>
      </c>
      <c r="Q39">
        <f t="shared" si="66"/>
        <v>0</v>
      </c>
      <c r="R39">
        <f t="shared" si="66"/>
        <v>0</v>
      </c>
      <c r="S39">
        <f t="shared" si="66"/>
        <v>0</v>
      </c>
      <c r="T39">
        <f>ABS((T23*O24)-(T24*O23))</f>
        <v>0</v>
      </c>
      <c r="U39">
        <f>(U23*V24)-(U24*V23)</f>
        <v>-0.13</v>
      </c>
      <c r="V39">
        <f>(V23*W24)-(V24*W23)</f>
        <v>-0.16000000000000003</v>
      </c>
      <c r="W39">
        <f>(W23*X24)-(W24*X23)</f>
        <v>0</v>
      </c>
      <c r="X39">
        <f>(X23*Y24)-(X24*Y23)</f>
        <v>0.54</v>
      </c>
      <c r="Y39">
        <f>(Y23*Z24)-(Y24*Z23)</f>
        <v>2.6700000000000004</v>
      </c>
      <c r="Z39">
        <f>ABS((Z23*U24)-(Z24*U23))</f>
        <v>3.6399999999999997</v>
      </c>
      <c r="AA39">
        <f>(AA23*AB24)-(AA24*AB23)</f>
        <v>-0.30000000000000004</v>
      </c>
      <c r="AB39">
        <f>(AB23*AC24)-(AB24*AC23)</f>
        <v>-0.48</v>
      </c>
      <c r="AC39">
        <f>(AC23*AD24)-(AC24*AD23)</f>
        <v>0</v>
      </c>
      <c r="AD39">
        <f>(AD23*AE24)-(AD24*AE23)</f>
        <v>2.16</v>
      </c>
      <c r="AE39">
        <f>(AE23*AF24)-(AE24*AF23)</f>
        <v>1.4999999999999991</v>
      </c>
      <c r="AF39">
        <f>ABS((AF23*AA24)-(AF24*AA23))</f>
        <v>4.5</v>
      </c>
      <c r="AG39">
        <f>(AG23*AH24)-(AG24*AH23)</f>
        <v>-0.30000000000000004</v>
      </c>
      <c r="AH39">
        <f>(AH23*AI24)-(AH24*AI23)</f>
        <v>-0.48</v>
      </c>
      <c r="AI39">
        <f>(AI23*AJ24)-(AI24*AJ23)</f>
        <v>0</v>
      </c>
      <c r="AJ39">
        <f>(AJ23*AK24)-(AJ24*AK23)</f>
        <v>2.16</v>
      </c>
      <c r="AK39">
        <f>(AK23*AL24)-(AK24*AL23)</f>
        <v>1.4999999999999991</v>
      </c>
      <c r="AL39">
        <f>ABS((AL23*AG24)-(AL24*AG23))</f>
        <v>4.5</v>
      </c>
      <c r="AM39">
        <f>(AM23*AN24)-(AM24*AN23)</f>
        <v>-1.02</v>
      </c>
      <c r="AN39">
        <f>(AN23*AO24)-(AN24*AO23)</f>
        <v>-0.8</v>
      </c>
      <c r="AO39">
        <f>(AO23*AP24)-(AO24*AP23)</f>
        <v>0</v>
      </c>
      <c r="AP39">
        <f>(AP23*AQ24)-(AP24*AQ23)</f>
        <v>1.1599999999999999</v>
      </c>
      <c r="AQ39">
        <f>(AQ23*AR24)-(AQ24*AR23)</f>
        <v>3.9899999999999993</v>
      </c>
      <c r="AR39">
        <f>ABS((AR23*AM24)-(AR24*AM23))</f>
        <v>5.44</v>
      </c>
      <c r="AS39">
        <f>(AS23*AT24)-(AS24*AT23)</f>
        <v>-1.02</v>
      </c>
      <c r="AT39">
        <f>(AT23*AU24)-(AT24*AU23)</f>
        <v>-0.8</v>
      </c>
      <c r="AU39">
        <f>(AU23*AV24)-(AU24*AV23)</f>
        <v>0</v>
      </c>
      <c r="AV39">
        <f>(AV23*AW24)-(AV24*AW23)</f>
        <v>1.1599999999999999</v>
      </c>
      <c r="AW39">
        <f>(AW23*AX24)-(AW24*AX23)</f>
        <v>3.9899999999999993</v>
      </c>
      <c r="AX39">
        <f>ABS((AX23*AS24)-(AX24*AS23))</f>
        <v>5.44</v>
      </c>
      <c r="AZ39" s="2">
        <f t="shared" si="33"/>
        <v>0</v>
      </c>
      <c r="BA39" s="2">
        <f t="shared" si="34"/>
        <v>0</v>
      </c>
      <c r="BB39" s="2">
        <f t="shared" si="35"/>
        <v>0</v>
      </c>
      <c r="BC39" s="2">
        <f t="shared" si="36"/>
        <v>3.2800000000000002</v>
      </c>
      <c r="BD39" s="2">
        <f t="shared" si="37"/>
        <v>3.6899999999999995</v>
      </c>
      <c r="BE39" s="2">
        <f t="shared" si="45"/>
        <v>3.6899999999999995</v>
      </c>
      <c r="BF39" s="2">
        <f t="shared" si="38"/>
        <v>4.3849999999999998</v>
      </c>
      <c r="BG39" s="2">
        <f t="shared" si="39"/>
        <v>4.3849999999999998</v>
      </c>
    </row>
    <row r="40" spans="1:59" s="2" customFormat="1" x14ac:dyDescent="0.25">
      <c r="B40" s="164"/>
      <c r="C40">
        <f>(C26*D27)-(C27*D26)</f>
        <v>0</v>
      </c>
      <c r="D40">
        <f t="shared" ref="D40:S40" si="71">(D26*E27)-(D27*E26)</f>
        <v>0</v>
      </c>
      <c r="E40">
        <f t="shared" si="71"/>
        <v>0</v>
      </c>
      <c r="F40">
        <f t="shared" si="71"/>
        <v>0</v>
      </c>
      <c r="G40">
        <f t="shared" si="71"/>
        <v>0</v>
      </c>
      <c r="H40">
        <f>(H26*C27)-(H27*C26)</f>
        <v>0</v>
      </c>
      <c r="I40">
        <f>(I26*J27)-(I27*J26)</f>
        <v>0</v>
      </c>
      <c r="J40">
        <f t="shared" ref="J40" si="72">(J26*K27)-(J27*K26)</f>
        <v>0</v>
      </c>
      <c r="K40">
        <f t="shared" ref="K40" si="73">(K26*L27)-(K27*L26)</f>
        <v>0</v>
      </c>
      <c r="L40">
        <f t="shared" ref="L40" si="74">(L26*M27)-(L27*M26)</f>
        <v>0</v>
      </c>
      <c r="M40">
        <f t="shared" ref="M40" si="75">(M26*N27)-(M27*N26)</f>
        <v>0</v>
      </c>
      <c r="N40">
        <f>(N26*I27)-(N27*I26)</f>
        <v>0</v>
      </c>
      <c r="O40">
        <f>(O26*P27)-(O27*P26)</f>
        <v>0</v>
      </c>
      <c r="P40">
        <f t="shared" si="71"/>
        <v>0</v>
      </c>
      <c r="Q40">
        <f t="shared" si="71"/>
        <v>0</v>
      </c>
      <c r="R40">
        <f t="shared" si="71"/>
        <v>0</v>
      </c>
      <c r="S40">
        <f t="shared" si="71"/>
        <v>0</v>
      </c>
      <c r="T40">
        <f>ABS((T26*O27)-(T27*O26))</f>
        <v>0</v>
      </c>
      <c r="U40">
        <f>(U26*V27)-(U27*V26)</f>
        <v>0</v>
      </c>
      <c r="V40">
        <f>(V26*W27)-(V27*W26)</f>
        <v>0</v>
      </c>
      <c r="W40">
        <f>(W26*X27)-(W27*X26)</f>
        <v>0</v>
      </c>
      <c r="X40">
        <f>(X26*Y27)-(X27*Y26)</f>
        <v>0</v>
      </c>
      <c r="Y40">
        <f>(Y26*Z27)-(Y27*Z26)</f>
        <v>0</v>
      </c>
      <c r="Z40">
        <f>ABS((Z26*U27)-(Z27*U26))</f>
        <v>0</v>
      </c>
      <c r="AA40">
        <f>(AA26*AB27)-(AA27*AB26)</f>
        <v>-0.12</v>
      </c>
      <c r="AB40">
        <f>(AB26*AC27)-(AB27*AC26)</f>
        <v>-0.2</v>
      </c>
      <c r="AC40">
        <f>(AC26*AD27)-(AC27*AD26)</f>
        <v>0</v>
      </c>
      <c r="AD40">
        <f>(AD26*AE27)-(AD27*AE26)</f>
        <v>0.21000000000000002</v>
      </c>
      <c r="AE40">
        <f>(AE26*AF27)-(AE27*AF26)</f>
        <v>3.1799999999999997</v>
      </c>
      <c r="AF40">
        <f>ABS((AF26*AA27)-(AF27*AA26))</f>
        <v>3.5999999999999996</v>
      </c>
      <c r="AG40">
        <f>(AG26*AH27)-(AG27*AH26)</f>
        <v>-0.12</v>
      </c>
      <c r="AH40">
        <f>(AH26*AI27)-(AH27*AI26)</f>
        <v>-0.2</v>
      </c>
      <c r="AI40">
        <f>(AI26*AJ27)-(AI27*AJ26)</f>
        <v>0</v>
      </c>
      <c r="AJ40">
        <f>(AJ26*AK27)-(AJ27*AK26)</f>
        <v>0.21000000000000002</v>
      </c>
      <c r="AK40">
        <f>(AK26*AL27)-(AK27*AL26)</f>
        <v>4.29</v>
      </c>
      <c r="AL40">
        <f>ABS((AL26*AG27)-(AL27*AG26))</f>
        <v>4.2</v>
      </c>
      <c r="AM40">
        <f>(AM26*AN27)-(AM27*AN26)</f>
        <v>-0.36000000000000004</v>
      </c>
      <c r="AN40">
        <f>(AN26*AO27)-(AN27*AO26)</f>
        <v>-0.8</v>
      </c>
      <c r="AO40">
        <f>(AO26*AP27)-(AO27*AP26)</f>
        <v>0</v>
      </c>
      <c r="AP40">
        <f>(AP26*AQ27)-(AP27*AQ26)</f>
        <v>2.2999999999999998</v>
      </c>
      <c r="AQ40">
        <f>(AQ26*AR27)-(AQ27*AR26)</f>
        <v>2.04</v>
      </c>
      <c r="AR40">
        <f>ABS((AR26*AM27)-(AR27*AM26))</f>
        <v>5.4</v>
      </c>
      <c r="AS40">
        <f>(AS26*AT27)-(AS27*AT26)</f>
        <v>-0.36000000000000004</v>
      </c>
      <c r="AT40">
        <f>(AT26*AU27)-(AT27*AU26)</f>
        <v>-0.8</v>
      </c>
      <c r="AU40">
        <f>(AU26*AV27)-(AU27*AV26)</f>
        <v>0</v>
      </c>
      <c r="AV40">
        <f>(AV26*AW27)-(AV27*AW26)</f>
        <v>2.2999999999999998</v>
      </c>
      <c r="AW40">
        <f>(AW26*AX27)-(AW27*AX26)</f>
        <v>2.04</v>
      </c>
      <c r="AX40">
        <f>ABS((AX26*AS27)-(AX27*AS26))</f>
        <v>5.4</v>
      </c>
      <c r="AZ40" s="2">
        <f t="shared" si="33"/>
        <v>0</v>
      </c>
      <c r="BA40" s="2">
        <f t="shared" si="34"/>
        <v>0</v>
      </c>
      <c r="BB40" s="2">
        <f t="shared" si="35"/>
        <v>0</v>
      </c>
      <c r="BC40" s="2">
        <f t="shared" si="36"/>
        <v>0</v>
      </c>
      <c r="BD40" s="2">
        <f t="shared" si="37"/>
        <v>3.335</v>
      </c>
      <c r="BE40" s="2">
        <f t="shared" si="45"/>
        <v>4.1899999999999995</v>
      </c>
      <c r="BF40" s="2">
        <f t="shared" si="38"/>
        <v>4.29</v>
      </c>
      <c r="BG40" s="2">
        <f t="shared" si="39"/>
        <v>4.29</v>
      </c>
    </row>
    <row r="41" spans="1:59" s="2" customFormat="1" x14ac:dyDescent="0.25">
      <c r="B41" s="164"/>
      <c r="C41">
        <f>(C29*D30)-(C30*D29)</f>
        <v>0</v>
      </c>
      <c r="D41">
        <f t="shared" ref="D41:S41" si="76">(D29*E30)-(D30*E29)</f>
        <v>0</v>
      </c>
      <c r="E41">
        <f t="shared" si="76"/>
        <v>0</v>
      </c>
      <c r="F41">
        <f t="shared" si="76"/>
        <v>0</v>
      </c>
      <c r="G41">
        <f t="shared" si="76"/>
        <v>0</v>
      </c>
      <c r="H41">
        <f>(H29*C30)-(H30*C29)</f>
        <v>0</v>
      </c>
      <c r="I41">
        <f>(I29*J30)-(I30*J29)</f>
        <v>0</v>
      </c>
      <c r="J41">
        <f t="shared" ref="J41" si="77">(J29*K30)-(J30*K29)</f>
        <v>0</v>
      </c>
      <c r="K41">
        <f t="shared" ref="K41" si="78">(K29*L30)-(K30*L29)</f>
        <v>0</v>
      </c>
      <c r="L41">
        <f t="shared" ref="L41" si="79">(L29*M30)-(L30*M29)</f>
        <v>0</v>
      </c>
      <c r="M41">
        <f t="shared" ref="M41" si="80">(M29*N30)-(M30*N29)</f>
        <v>0</v>
      </c>
      <c r="N41">
        <f>(N29*I30)-(N30*I29)</f>
        <v>0</v>
      </c>
      <c r="O41">
        <f>(O29*P30)-(O30*P29)</f>
        <v>0</v>
      </c>
      <c r="P41">
        <f t="shared" si="76"/>
        <v>0</v>
      </c>
      <c r="Q41">
        <f t="shared" si="76"/>
        <v>0</v>
      </c>
      <c r="R41">
        <f t="shared" si="76"/>
        <v>0</v>
      </c>
      <c r="S41">
        <f t="shared" si="76"/>
        <v>0</v>
      </c>
      <c r="T41">
        <f>ABS((T29*O30)-(T30*O29))</f>
        <v>0</v>
      </c>
      <c r="U41">
        <f>(U29*V30)-(U30*V29)</f>
        <v>0</v>
      </c>
      <c r="V41">
        <f>(V29*W30)-(V30*W29)</f>
        <v>0</v>
      </c>
      <c r="W41">
        <f>(W29*X30)-(W30*X29)</f>
        <v>0</v>
      </c>
      <c r="X41">
        <f>(X29*Y30)-(X30*Y29)</f>
        <v>0</v>
      </c>
      <c r="Y41">
        <f>(Y29*Z30)-(Y30*Z29)</f>
        <v>0</v>
      </c>
      <c r="Z41">
        <f>ABS((Z29*U30)-(Z30*U29))</f>
        <v>0</v>
      </c>
      <c r="AA41">
        <f>(AA29*AB30)-(AA30*AB29)</f>
        <v>0</v>
      </c>
      <c r="AB41">
        <f>(AB29*AC30)-(AB30*AC29)</f>
        <v>0</v>
      </c>
      <c r="AC41">
        <f>(AC29*AD30)-(AC30*AD29)</f>
        <v>0</v>
      </c>
      <c r="AD41">
        <f>(AD29*AE30)-(AD30*AE29)</f>
        <v>0</v>
      </c>
      <c r="AE41">
        <f>(AE29*AF30)-(AE30*AF29)</f>
        <v>0</v>
      </c>
      <c r="AF41">
        <f>ABS((AF29*AA30)-(AF30*AA29))</f>
        <v>0</v>
      </c>
      <c r="AG41">
        <f>(AG29*AH30)-(AG30*AH29)</f>
        <v>0</v>
      </c>
      <c r="AH41">
        <f>(AH29*AI30)-(AH30*AI29)</f>
        <v>0</v>
      </c>
      <c r="AI41">
        <f>(AI29*AJ30)-(AI30*AJ29)</f>
        <v>0</v>
      </c>
      <c r="AJ41">
        <f>(AJ29*AK30)-(AJ30*AK29)</f>
        <v>0</v>
      </c>
      <c r="AK41">
        <f>(AK29*AL30)-(AK30*AL29)</f>
        <v>0</v>
      </c>
      <c r="AL41">
        <f>ABS((AL29*AG30)-(AL30*AG29))</f>
        <v>0</v>
      </c>
      <c r="AM41">
        <f>(AM29*AN30)-(AM30*AN29)</f>
        <v>-0.12</v>
      </c>
      <c r="AN41">
        <f>(AN29*AO30)-(AN30*AO29)</f>
        <v>0</v>
      </c>
      <c r="AO41">
        <f>(AO29*AP30)-(AO30*AP29)</f>
        <v>0</v>
      </c>
      <c r="AP41">
        <f>(AP29*AQ30)-(AP30*AQ29)</f>
        <v>0</v>
      </c>
      <c r="AQ41">
        <f>(AQ29*AR30)-(AQ30*AR29)</f>
        <v>2.3400000000000003</v>
      </c>
      <c r="AR41">
        <f>ABS((AR29*AM30)-(AR30*AM29))</f>
        <v>1.68</v>
      </c>
      <c r="AS41">
        <f>(AS29*AT30)-(AS30*AT29)</f>
        <v>-0.12</v>
      </c>
      <c r="AT41">
        <f>(AT29*AU30)-(AT30*AU29)</f>
        <v>0</v>
      </c>
      <c r="AU41">
        <f>(AU29*AV30)-(AU30*AV29)</f>
        <v>0</v>
      </c>
      <c r="AV41">
        <f>(AV29*AW30)-(AV30*AW29)</f>
        <v>0</v>
      </c>
      <c r="AW41">
        <f>(AW29*AX30)-(AW30*AX29)</f>
        <v>2.3400000000000003</v>
      </c>
      <c r="AX41">
        <f>ABS((AX29*AS30)-(AX30*AS29))</f>
        <v>1.68</v>
      </c>
      <c r="AZ41" s="2">
        <f t="shared" si="33"/>
        <v>0</v>
      </c>
      <c r="BA41" s="2">
        <f t="shared" si="34"/>
        <v>0</v>
      </c>
      <c r="BB41" s="2">
        <f t="shared" si="35"/>
        <v>0</v>
      </c>
      <c r="BC41" s="2">
        <f t="shared" si="36"/>
        <v>0</v>
      </c>
      <c r="BD41" s="2">
        <f t="shared" si="37"/>
        <v>0</v>
      </c>
      <c r="BE41" s="2">
        <f t="shared" si="45"/>
        <v>0</v>
      </c>
      <c r="BF41" s="2">
        <f t="shared" si="38"/>
        <v>1.9500000000000002</v>
      </c>
      <c r="BG41" s="2">
        <f t="shared" si="39"/>
        <v>1.9500000000000002</v>
      </c>
    </row>
    <row r="43" spans="1:59" x14ac:dyDescent="0.25">
      <c r="C43" s="47">
        <f>F3</f>
        <v>41453</v>
      </c>
      <c r="D43" s="47">
        <f>Q3</f>
        <v>41478</v>
      </c>
      <c r="E43" s="47">
        <f>W3</f>
        <v>41491</v>
      </c>
      <c r="F43" s="47">
        <f>AC3</f>
        <v>41499</v>
      </c>
      <c r="G43" s="47">
        <f>AI3</f>
        <v>41516</v>
      </c>
      <c r="P43" s="47">
        <v>41930</v>
      </c>
      <c r="Q43"/>
      <c r="R43"/>
      <c r="S43"/>
      <c r="T43"/>
      <c r="U43"/>
    </row>
    <row r="44" spans="1:59" s="2" customFormat="1" x14ac:dyDescent="0.25">
      <c r="A44" s="2" t="s">
        <v>9</v>
      </c>
      <c r="B44" s="175" t="s">
        <v>10</v>
      </c>
      <c r="C44" s="2">
        <f>H17</f>
        <v>4</v>
      </c>
      <c r="D44" s="2">
        <f>T17</f>
        <v>8.1999999999999993</v>
      </c>
      <c r="E44" s="2">
        <f>Z17</f>
        <v>10.4</v>
      </c>
      <c r="F44" s="2">
        <f>AF17</f>
        <v>11.3</v>
      </c>
      <c r="G44" s="2">
        <f>AX17</f>
        <v>12</v>
      </c>
      <c r="O44"/>
      <c r="P44">
        <v>0</v>
      </c>
      <c r="Q44"/>
      <c r="R44"/>
      <c r="S44"/>
      <c r="T44"/>
      <c r="U44">
        <v>2.7</v>
      </c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9" x14ac:dyDescent="0.25">
      <c r="B45" s="176" t="s">
        <v>11</v>
      </c>
      <c r="C45">
        <f>H18</f>
        <v>1.8</v>
      </c>
      <c r="D45">
        <f>T18</f>
        <v>2.2000000000000002</v>
      </c>
      <c r="E45">
        <f>Z18</f>
        <v>3</v>
      </c>
      <c r="F45">
        <f>AF18</f>
        <v>3.3</v>
      </c>
      <c r="G45">
        <f>AX18</f>
        <v>3.7</v>
      </c>
      <c r="P45">
        <v>1.9</v>
      </c>
      <c r="Q45"/>
      <c r="R45"/>
      <c r="S45"/>
      <c r="T45"/>
      <c r="U45">
        <v>1.9</v>
      </c>
    </row>
    <row r="46" spans="1:59" x14ac:dyDescent="0.25">
      <c r="B46" s="176" t="s">
        <v>12</v>
      </c>
      <c r="C46">
        <v>8</v>
      </c>
      <c r="D46">
        <f>C46+5.4</f>
        <v>13.4</v>
      </c>
      <c r="E46">
        <f>D46+U25</f>
        <v>23.4</v>
      </c>
      <c r="F46">
        <f>E46+AA28</f>
        <v>29.4</v>
      </c>
      <c r="G46">
        <f>AS31+F46</f>
        <v>32.4</v>
      </c>
      <c r="P46">
        <v>3</v>
      </c>
      <c r="Q46"/>
      <c r="R46"/>
      <c r="S46"/>
      <c r="T46"/>
      <c r="U46"/>
    </row>
    <row r="47" spans="1:59" x14ac:dyDescent="0.25">
      <c r="A47" t="s">
        <v>13</v>
      </c>
      <c r="B47" s="175" t="s">
        <v>10</v>
      </c>
      <c r="P47">
        <v>0</v>
      </c>
      <c r="Q47"/>
      <c r="R47"/>
      <c r="S47"/>
      <c r="T47"/>
      <c r="U47">
        <v>3.5</v>
      </c>
    </row>
    <row r="48" spans="1:59" x14ac:dyDescent="0.25">
      <c r="B48" s="176" t="s">
        <v>11</v>
      </c>
      <c r="P48">
        <v>1.55</v>
      </c>
      <c r="Q48"/>
      <c r="R48"/>
      <c r="S48"/>
      <c r="T48"/>
      <c r="U48">
        <v>1.55</v>
      </c>
    </row>
    <row r="49" spans="1:21" x14ac:dyDescent="0.25">
      <c r="A49" t="s">
        <v>14</v>
      </c>
      <c r="B49" s="176" t="s">
        <v>12</v>
      </c>
      <c r="P49">
        <v>4</v>
      </c>
      <c r="Q49"/>
      <c r="R49"/>
      <c r="S49"/>
      <c r="T49"/>
      <c r="U49"/>
    </row>
    <row r="50" spans="1:21" x14ac:dyDescent="0.25">
      <c r="B50" s="175" t="s">
        <v>10</v>
      </c>
      <c r="P50">
        <v>0</v>
      </c>
      <c r="Q50"/>
      <c r="R50"/>
      <c r="S50"/>
      <c r="T50"/>
      <c r="U50">
        <v>3.3</v>
      </c>
    </row>
    <row r="51" spans="1:21" x14ac:dyDescent="0.25">
      <c r="B51" s="176" t="s">
        <v>11</v>
      </c>
      <c r="P51">
        <v>1.85</v>
      </c>
      <c r="Q51"/>
      <c r="R51"/>
      <c r="S51"/>
      <c r="T51"/>
      <c r="U51">
        <v>1.85</v>
      </c>
    </row>
    <row r="52" spans="1:21" x14ac:dyDescent="0.25">
      <c r="B52" s="176" t="s">
        <v>12</v>
      </c>
      <c r="P52"/>
      <c r="Q52"/>
      <c r="R52"/>
      <c r="S52"/>
      <c r="T52"/>
      <c r="U52"/>
    </row>
    <row r="53" spans="1:21" x14ac:dyDescent="0.25">
      <c r="P53"/>
      <c r="Q53"/>
      <c r="R53"/>
      <c r="S53"/>
      <c r="T53"/>
      <c r="U53"/>
    </row>
  </sheetData>
  <mergeCells count="11">
    <mergeCell ref="BH2:BM2"/>
    <mergeCell ref="AZ2:BE2"/>
    <mergeCell ref="A23:A25"/>
    <mergeCell ref="A26:A28"/>
    <mergeCell ref="A29:A31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pageSetup orientation="portrait" horizontalDpi="300" verticalDpi="30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5"/>
  <sheetViews>
    <sheetView topLeftCell="Y1" zoomScale="75" zoomScaleNormal="75" workbookViewId="0">
      <selection activeCell="AR5" sqref="AR5:AT7"/>
    </sheetView>
  </sheetViews>
  <sheetFormatPr defaultRowHeight="15" x14ac:dyDescent="0.25"/>
  <cols>
    <col min="2" max="2" width="12" bestFit="1" customWidth="1"/>
    <col min="3" max="4" width="10.85546875" bestFit="1" customWidth="1"/>
    <col min="5" max="5" width="9.28515625" bestFit="1" customWidth="1"/>
    <col min="6" max="7" width="10.85546875" bestFit="1" customWidth="1"/>
    <col min="8" max="10" width="9.28515625" bestFit="1" customWidth="1"/>
    <col min="11" max="11" width="10.85546875" bestFit="1" customWidth="1"/>
    <col min="12" max="16" width="9.28515625" bestFit="1" customWidth="1"/>
    <col min="17" max="17" width="9.7109375" bestFit="1" customWidth="1"/>
    <col min="18" max="22" width="9.28515625" bestFit="1" customWidth="1"/>
    <col min="23" max="23" width="9.7109375" bestFit="1" customWidth="1"/>
    <col min="24" max="24" width="9.28515625" bestFit="1" customWidth="1"/>
  </cols>
  <sheetData>
    <row r="1" spans="1:49" x14ac:dyDescent="0.25"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E1" s="64"/>
      <c r="AF1" s="64">
        <f>(1.2*1.4)-((1.792*0^5)/5+(0.114*0^4)/4+(2.196*1.4^3)/3-(3.077*1.4^2)/2+(0.819*1.4))</f>
        <v>1.540252</v>
      </c>
      <c r="AG1" s="64"/>
      <c r="AH1" s="47">
        <v>41453</v>
      </c>
      <c r="AI1" s="102">
        <v>41478</v>
      </c>
      <c r="AJ1" s="47">
        <v>41491</v>
      </c>
      <c r="AK1" s="47">
        <v>41495</v>
      </c>
      <c r="AL1" s="47">
        <v>41517</v>
      </c>
    </row>
    <row r="2" spans="1:49" ht="15.75" thickBot="1" x14ac:dyDescent="0.3"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H2" s="218" t="s">
        <v>36</v>
      </c>
      <c r="AI2" s="218"/>
      <c r="AJ2" s="218"/>
      <c r="AK2" s="218"/>
      <c r="AL2" s="218"/>
      <c r="AM2" s="218" t="s">
        <v>42</v>
      </c>
      <c r="AN2" s="218"/>
      <c r="AO2" s="218"/>
      <c r="AP2" s="218"/>
      <c r="AQ2" s="218"/>
      <c r="AR2" s="3"/>
      <c r="AS2" s="3"/>
      <c r="AT2" s="3"/>
      <c r="AU2" s="3"/>
      <c r="AV2" s="3"/>
      <c r="AW2" s="3"/>
    </row>
    <row r="3" spans="1:49" x14ac:dyDescent="0.25">
      <c r="F3" s="47">
        <v>41453</v>
      </c>
      <c r="I3" s="1"/>
      <c r="J3" s="2"/>
      <c r="K3" s="102">
        <v>41478</v>
      </c>
      <c r="L3" s="2"/>
      <c r="M3" s="2"/>
      <c r="O3" s="2"/>
      <c r="Q3" s="47">
        <v>41491</v>
      </c>
      <c r="U3" s="2"/>
      <c r="W3" s="47">
        <v>41499</v>
      </c>
      <c r="AC3" s="47">
        <v>41516</v>
      </c>
      <c r="AH3" s="103">
        <v>41453</v>
      </c>
      <c r="AI3" s="104">
        <v>41478</v>
      </c>
      <c r="AJ3" s="105">
        <v>41491</v>
      </c>
      <c r="AK3" s="105">
        <v>41495</v>
      </c>
      <c r="AL3" s="106">
        <v>41516</v>
      </c>
      <c r="AM3" s="103">
        <v>41453</v>
      </c>
      <c r="AN3" s="104">
        <v>41478</v>
      </c>
      <c r="AO3" s="105">
        <v>41491</v>
      </c>
      <c r="AP3" s="105">
        <v>41495</v>
      </c>
      <c r="AQ3" s="106" t="s">
        <v>2</v>
      </c>
      <c r="AR3" s="1"/>
    </row>
    <row r="4" spans="1:49" ht="15.75" thickBot="1" x14ac:dyDescent="0.3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3</v>
      </c>
      <c r="P4" s="4" t="s">
        <v>4</v>
      </c>
      <c r="Q4" s="4" t="s">
        <v>5</v>
      </c>
      <c r="R4" s="4" t="s">
        <v>6</v>
      </c>
      <c r="S4" s="4" t="s">
        <v>7</v>
      </c>
      <c r="T4" s="4" t="s">
        <v>8</v>
      </c>
      <c r="U4" s="4" t="s">
        <v>3</v>
      </c>
      <c r="V4" s="4" t="s">
        <v>4</v>
      </c>
      <c r="W4" s="4" t="s">
        <v>5</v>
      </c>
      <c r="X4" s="4" t="s">
        <v>6</v>
      </c>
      <c r="Y4" s="4" t="s">
        <v>7</v>
      </c>
      <c r="Z4" s="4" t="s">
        <v>8</v>
      </c>
      <c r="AA4" s="4" t="s">
        <v>3</v>
      </c>
      <c r="AB4" s="4" t="s">
        <v>4</v>
      </c>
      <c r="AC4" s="4" t="s">
        <v>5</v>
      </c>
      <c r="AD4" s="4" t="s">
        <v>6</v>
      </c>
      <c r="AE4" s="4" t="s">
        <v>7</v>
      </c>
      <c r="AF4" s="4" t="s">
        <v>8</v>
      </c>
      <c r="AG4" s="4"/>
      <c r="AH4" s="70" t="s">
        <v>31</v>
      </c>
      <c r="AI4" s="71" t="s">
        <v>32</v>
      </c>
      <c r="AJ4" s="71" t="s">
        <v>33</v>
      </c>
      <c r="AK4" s="71" t="s">
        <v>34</v>
      </c>
      <c r="AL4" s="72" t="s">
        <v>35</v>
      </c>
      <c r="AM4" s="70" t="s">
        <v>37</v>
      </c>
      <c r="AN4" s="71" t="s">
        <v>38</v>
      </c>
      <c r="AO4" s="71" t="s">
        <v>39</v>
      </c>
      <c r="AP4" s="71" t="s">
        <v>40</v>
      </c>
      <c r="AQ4" s="72" t="s">
        <v>41</v>
      </c>
      <c r="AS4" s="197" t="s">
        <v>10</v>
      </c>
      <c r="AT4" s="197" t="s">
        <v>12</v>
      </c>
    </row>
    <row r="5" spans="1:49" x14ac:dyDescent="0.25">
      <c r="A5" s="219" t="s">
        <v>9</v>
      </c>
      <c r="B5" s="5" t="s">
        <v>10</v>
      </c>
      <c r="C5" s="121"/>
      <c r="D5" s="122"/>
      <c r="E5" s="122"/>
      <c r="F5" s="122"/>
      <c r="G5" s="122"/>
      <c r="H5" s="123"/>
      <c r="I5" s="121"/>
      <c r="J5" s="122"/>
      <c r="K5" s="122"/>
      <c r="L5" s="122"/>
      <c r="M5" s="122"/>
      <c r="N5" s="123"/>
      <c r="O5" s="121"/>
      <c r="P5" s="122"/>
      <c r="Q5" s="122"/>
      <c r="R5" s="122"/>
      <c r="S5" s="122"/>
      <c r="T5" s="123"/>
      <c r="U5" s="6">
        <v>-0.8</v>
      </c>
      <c r="V5" s="6">
        <v>-0.8</v>
      </c>
      <c r="W5" s="6">
        <v>-0.8</v>
      </c>
      <c r="X5" s="7">
        <v>0.8</v>
      </c>
      <c r="Y5" s="7">
        <v>0.8</v>
      </c>
      <c r="Z5" s="7">
        <v>0.8</v>
      </c>
      <c r="AA5" s="10">
        <v>-1.3</v>
      </c>
      <c r="AB5" s="10">
        <v>-1.2</v>
      </c>
      <c r="AC5" s="10">
        <v>-0.8</v>
      </c>
      <c r="AD5" s="10">
        <v>0.9</v>
      </c>
      <c r="AE5" s="10">
        <v>1.2</v>
      </c>
      <c r="AF5" s="11">
        <v>1.3</v>
      </c>
      <c r="AG5" s="16" t="s">
        <v>14</v>
      </c>
      <c r="AH5" s="73">
        <f t="shared" ref="AH5:AL7" si="0">AG15</f>
        <v>0</v>
      </c>
      <c r="AI5" s="74">
        <f t="shared" si="0"/>
        <v>0</v>
      </c>
      <c r="AJ5" s="74">
        <f t="shared" si="0"/>
        <v>0</v>
      </c>
      <c r="AK5" s="74">
        <f t="shared" si="0"/>
        <v>2.5600000000000005</v>
      </c>
      <c r="AL5" s="74">
        <f t="shared" si="0"/>
        <v>7.2749999999999995</v>
      </c>
      <c r="AM5" s="78"/>
      <c r="AN5" s="49"/>
      <c r="AO5" s="49"/>
      <c r="AP5" s="49"/>
      <c r="AQ5" s="81"/>
      <c r="AR5" s="16" t="s">
        <v>14</v>
      </c>
      <c r="AS5">
        <f>AF5-AA5</f>
        <v>2.6</v>
      </c>
      <c r="AT5" s="100">
        <f>AA7</f>
        <v>3.8</v>
      </c>
    </row>
    <row r="6" spans="1:49" x14ac:dyDescent="0.25">
      <c r="A6" s="220"/>
      <c r="B6" s="12" t="s">
        <v>11</v>
      </c>
      <c r="C6" s="124"/>
      <c r="D6" s="125"/>
      <c r="E6" s="125"/>
      <c r="F6" s="125"/>
      <c r="G6" s="125"/>
      <c r="H6" s="126"/>
      <c r="I6" s="124"/>
      <c r="J6" s="125"/>
      <c r="K6" s="125"/>
      <c r="L6" s="125"/>
      <c r="M6" s="125"/>
      <c r="N6" s="126"/>
      <c r="O6" s="124"/>
      <c r="P6" s="125"/>
      <c r="Q6" s="125"/>
      <c r="R6" s="125"/>
      <c r="S6" s="125"/>
      <c r="T6" s="126"/>
      <c r="U6" s="13">
        <v>0</v>
      </c>
      <c r="V6" s="14">
        <v>-1.6</v>
      </c>
      <c r="W6" s="14">
        <v>-1.6</v>
      </c>
      <c r="X6" s="14">
        <v>-1.6</v>
      </c>
      <c r="Y6" s="14">
        <v>-1.6</v>
      </c>
      <c r="Z6" s="15">
        <v>0</v>
      </c>
      <c r="AA6" s="16">
        <v>0</v>
      </c>
      <c r="AB6" s="16">
        <v>-2.5</v>
      </c>
      <c r="AC6" s="16">
        <v>-3</v>
      </c>
      <c r="AD6" s="16">
        <v>-3</v>
      </c>
      <c r="AE6" s="16">
        <v>-2.5</v>
      </c>
      <c r="AF6" s="17">
        <v>0</v>
      </c>
      <c r="AG6" s="16" t="s">
        <v>13</v>
      </c>
      <c r="AH6" s="73">
        <f t="shared" si="0"/>
        <v>2.8000000000000003</v>
      </c>
      <c r="AI6" s="74">
        <f t="shared" si="0"/>
        <v>6.7200000000000006</v>
      </c>
      <c r="AJ6" s="74">
        <f t="shared" si="0"/>
        <v>10.613999999999999</v>
      </c>
      <c r="AK6" s="74">
        <f t="shared" si="0"/>
        <v>16.755000000000003</v>
      </c>
      <c r="AL6" s="74">
        <f t="shared" si="0"/>
        <v>18.48</v>
      </c>
      <c r="AM6" s="78"/>
      <c r="AN6" s="49"/>
      <c r="AO6" s="49"/>
      <c r="AP6" s="73">
        <f>(AK5+AK6)/2*$AA$7</f>
        <v>36.69850000000001</v>
      </c>
      <c r="AQ6" s="73">
        <f>(AL5+AL6)/2*$AA$7</f>
        <v>48.934499999999993</v>
      </c>
      <c r="AR6" s="16" t="s">
        <v>13</v>
      </c>
      <c r="AS6">
        <f>AF8-AA8</f>
        <v>6.3000000000000007</v>
      </c>
      <c r="AT6" s="100">
        <f>AA10</f>
        <v>2.4</v>
      </c>
    </row>
    <row r="7" spans="1:49" ht="15.75" thickBot="1" x14ac:dyDescent="0.3">
      <c r="A7" s="221"/>
      <c r="B7" s="18" t="s">
        <v>12</v>
      </c>
      <c r="C7" s="117"/>
      <c r="D7" s="118"/>
      <c r="E7" s="118"/>
      <c r="F7" s="118"/>
      <c r="G7" s="118"/>
      <c r="H7" s="119"/>
      <c r="I7" s="117"/>
      <c r="J7" s="118"/>
      <c r="K7" s="118"/>
      <c r="L7" s="118"/>
      <c r="M7" s="118"/>
      <c r="N7" s="119"/>
      <c r="O7" s="117"/>
      <c r="P7" s="118"/>
      <c r="Q7" s="118"/>
      <c r="R7" s="118"/>
      <c r="S7" s="118"/>
      <c r="T7" s="119"/>
      <c r="U7" s="22"/>
      <c r="V7" s="23"/>
      <c r="W7" s="23"/>
      <c r="X7" s="23"/>
      <c r="Y7" s="23"/>
      <c r="Z7" s="24"/>
      <c r="AA7" s="158">
        <v>3.8</v>
      </c>
      <c r="AB7" s="25"/>
      <c r="AC7" s="25"/>
      <c r="AD7" s="25"/>
      <c r="AE7" s="25"/>
      <c r="AF7" s="26"/>
      <c r="AG7" s="16" t="s">
        <v>9</v>
      </c>
      <c r="AH7" s="73">
        <f t="shared" si="0"/>
        <v>11.48</v>
      </c>
      <c r="AI7" s="74">
        <f t="shared" si="0"/>
        <v>15.849</v>
      </c>
      <c r="AJ7" s="74">
        <f t="shared" si="0"/>
        <v>18.204999999999998</v>
      </c>
      <c r="AK7" s="74">
        <f t="shared" si="0"/>
        <v>17.232999999999997</v>
      </c>
      <c r="AL7" s="74">
        <f t="shared" si="0"/>
        <v>18.759999999999998</v>
      </c>
      <c r="AM7" s="73">
        <f>(AH6+AH7)/2*$AA$10</f>
        <v>17.135999999999999</v>
      </c>
      <c r="AN7" s="73">
        <f>(AI6+AI7)/2*$AA$10</f>
        <v>27.082800000000002</v>
      </c>
      <c r="AO7" s="73">
        <f>(AJ6+AJ7)/2*$AA$10</f>
        <v>34.582799999999992</v>
      </c>
      <c r="AP7" s="73">
        <f>(AK6+AK7)/2*$AA$10</f>
        <v>40.785599999999995</v>
      </c>
      <c r="AQ7" s="73">
        <f>(AL6+AL7)/2*$AA$10</f>
        <v>44.687999999999995</v>
      </c>
      <c r="AR7" s="16" t="s">
        <v>9</v>
      </c>
      <c r="AS7" s="211">
        <f>AF11-AA11</f>
        <v>6.1</v>
      </c>
      <c r="AT7" s="100"/>
    </row>
    <row r="8" spans="1:49" x14ac:dyDescent="0.25">
      <c r="A8" s="219" t="s">
        <v>13</v>
      </c>
      <c r="B8" s="12" t="s">
        <v>10</v>
      </c>
      <c r="C8" s="111">
        <v>-1.1999999999999997</v>
      </c>
      <c r="D8" s="128">
        <v>-1.1999999999999997</v>
      </c>
      <c r="E8" s="128">
        <v>-1.1999999999999997</v>
      </c>
      <c r="F8" s="29">
        <v>0.55000000000000027</v>
      </c>
      <c r="G8" s="29">
        <v>0.55000000000000027</v>
      </c>
      <c r="H8" s="29">
        <v>0.55000000000000027</v>
      </c>
      <c r="I8" s="31">
        <v>-1.4</v>
      </c>
      <c r="J8" s="31">
        <v>-1.2</v>
      </c>
      <c r="K8" s="31">
        <v>-0.7</v>
      </c>
      <c r="L8" s="31">
        <v>0.7</v>
      </c>
      <c r="M8">
        <v>1.1000000000000001</v>
      </c>
      <c r="N8" s="32">
        <v>1.1700000000000004</v>
      </c>
      <c r="O8" s="31">
        <v>-2.2000000000000002</v>
      </c>
      <c r="P8" s="31">
        <v>-1.95</v>
      </c>
      <c r="Q8" s="31">
        <v>-0.7</v>
      </c>
      <c r="R8" s="31">
        <v>0.85</v>
      </c>
      <c r="S8">
        <v>1.42</v>
      </c>
      <c r="T8" s="32">
        <v>1.6</v>
      </c>
      <c r="U8" s="30">
        <v>-3.1</v>
      </c>
      <c r="V8" s="31">
        <v>-2.9</v>
      </c>
      <c r="W8" s="31">
        <v>-1.1000000000000001</v>
      </c>
      <c r="X8" s="31">
        <v>1.1000000000000001</v>
      </c>
      <c r="Y8" s="31">
        <v>2.4500000000000002</v>
      </c>
      <c r="Z8" s="32">
        <v>2.7</v>
      </c>
      <c r="AA8" s="16">
        <v>-3.1</v>
      </c>
      <c r="AB8" s="111">
        <v>-2.9</v>
      </c>
      <c r="AC8" s="111">
        <v>-1.4</v>
      </c>
      <c r="AD8" s="111">
        <v>1.4</v>
      </c>
      <c r="AE8" s="111">
        <v>2.9</v>
      </c>
      <c r="AF8" s="29">
        <v>3.2</v>
      </c>
      <c r="AG8" s="16"/>
      <c r="AH8" s="76">
        <f>SUM(AH5:AH7)</f>
        <v>14.280000000000001</v>
      </c>
      <c r="AI8" s="76">
        <f>SUM(AI5:AI7)</f>
        <v>22.569000000000003</v>
      </c>
      <c r="AJ8" s="76">
        <f>SUM(AJ5:AJ7)</f>
        <v>28.818999999999996</v>
      </c>
      <c r="AK8" s="76">
        <f>SUM(AK5:AK7)</f>
        <v>36.548000000000002</v>
      </c>
      <c r="AL8" s="76">
        <f>SUM(AL5:AL7)</f>
        <v>44.515000000000001</v>
      </c>
      <c r="AM8" s="73">
        <f>AM6+AM7</f>
        <v>17.135999999999999</v>
      </c>
      <c r="AN8" s="73">
        <f>AN6+AN7</f>
        <v>27.082800000000002</v>
      </c>
      <c r="AO8" s="73">
        <f>AO6+AO7</f>
        <v>34.582799999999992</v>
      </c>
      <c r="AP8" s="73">
        <f>AP6+AP7</f>
        <v>77.484100000000012</v>
      </c>
      <c r="AQ8" s="73">
        <f>AQ6+AQ7</f>
        <v>93.622499999999988</v>
      </c>
      <c r="AR8">
        <v>94.087999999999994</v>
      </c>
      <c r="AT8" s="100"/>
    </row>
    <row r="9" spans="1:49" x14ac:dyDescent="0.25">
      <c r="A9" s="220"/>
      <c r="B9" s="12" t="s">
        <v>11</v>
      </c>
      <c r="C9" s="16">
        <v>0</v>
      </c>
      <c r="D9" s="128">
        <v>-1.6</v>
      </c>
      <c r="E9" s="128">
        <v>-1.6</v>
      </c>
      <c r="F9" s="128">
        <v>-1.6</v>
      </c>
      <c r="G9" s="128">
        <v>-1.6</v>
      </c>
      <c r="H9" s="29">
        <v>0</v>
      </c>
      <c r="I9" s="16">
        <v>0</v>
      </c>
      <c r="J9" s="128">
        <v>-2</v>
      </c>
      <c r="K9" s="128">
        <v>-3</v>
      </c>
      <c r="L9" s="128">
        <v>-3</v>
      </c>
      <c r="M9" s="128">
        <v>-2</v>
      </c>
      <c r="N9" s="29">
        <v>0</v>
      </c>
      <c r="O9" s="16">
        <v>0</v>
      </c>
      <c r="P9" s="128">
        <v>-2</v>
      </c>
      <c r="Q9" s="128">
        <v>-3.4</v>
      </c>
      <c r="R9" s="128">
        <v>-3.4</v>
      </c>
      <c r="S9" s="128">
        <v>-2</v>
      </c>
      <c r="T9" s="29">
        <v>0</v>
      </c>
      <c r="U9" s="16">
        <v>0</v>
      </c>
      <c r="V9" s="128">
        <v>-2</v>
      </c>
      <c r="W9" s="128">
        <v>-3.4</v>
      </c>
      <c r="X9" s="128">
        <v>-3.4</v>
      </c>
      <c r="Y9" s="128">
        <v>-2.4</v>
      </c>
      <c r="Z9" s="29">
        <v>0</v>
      </c>
      <c r="AA9" s="16">
        <v>0</v>
      </c>
      <c r="AB9" s="111">
        <v>-2</v>
      </c>
      <c r="AC9" s="111">
        <v>-3.4</v>
      </c>
      <c r="AD9" s="111">
        <v>-3.4</v>
      </c>
      <c r="AE9" s="111">
        <v>-2.4</v>
      </c>
      <c r="AF9" s="29">
        <v>0</v>
      </c>
      <c r="AG9" s="16"/>
      <c r="AH9" s="76"/>
      <c r="AI9" s="74"/>
      <c r="AJ9" s="77"/>
      <c r="AK9" s="74"/>
      <c r="AL9" s="75">
        <f>AL8-AH8</f>
        <v>30.234999999999999</v>
      </c>
      <c r="AM9" s="73"/>
      <c r="AN9" s="82"/>
      <c r="AO9" s="82"/>
      <c r="AP9" s="82"/>
      <c r="AQ9" s="83">
        <f>AQ8-AM8</f>
        <v>76.486499999999992</v>
      </c>
      <c r="AR9">
        <v>77.287999999999997</v>
      </c>
      <c r="AT9" s="100"/>
    </row>
    <row r="10" spans="1:49" ht="15.75" thickBot="1" x14ac:dyDescent="0.3">
      <c r="A10" s="221"/>
      <c r="B10" s="12" t="s">
        <v>12</v>
      </c>
      <c r="C10" s="111"/>
      <c r="D10" s="111"/>
      <c r="E10" s="111"/>
      <c r="F10" s="111"/>
      <c r="H10" s="29"/>
      <c r="I10" s="31"/>
      <c r="J10" s="31"/>
      <c r="K10" s="31"/>
      <c r="L10" s="31"/>
      <c r="N10" s="32"/>
      <c r="O10" s="31"/>
      <c r="P10" s="31"/>
      <c r="Q10" s="31"/>
      <c r="R10" s="31"/>
      <c r="T10" s="32"/>
      <c r="U10" s="30"/>
      <c r="V10" s="31"/>
      <c r="W10" s="31"/>
      <c r="X10" s="31"/>
      <c r="Y10" s="31"/>
      <c r="Z10" s="32"/>
      <c r="AA10" s="16">
        <v>2.4</v>
      </c>
      <c r="AB10" s="111"/>
      <c r="AC10" s="111"/>
      <c r="AD10" s="111"/>
      <c r="AE10" s="111"/>
      <c r="AF10" s="29"/>
      <c r="AG10" s="16"/>
      <c r="AH10" s="55"/>
      <c r="AI10" s="134"/>
      <c r="AJ10" s="134"/>
      <c r="AK10" s="134"/>
      <c r="AL10" s="75"/>
      <c r="AM10" s="54"/>
      <c r="AN10" s="82"/>
      <c r="AO10" s="82"/>
      <c r="AP10" s="82"/>
      <c r="AQ10" s="83"/>
      <c r="AT10" s="100"/>
    </row>
    <row r="11" spans="1:49" x14ac:dyDescent="0.25">
      <c r="A11" s="219" t="s">
        <v>14</v>
      </c>
      <c r="B11" s="5" t="s">
        <v>10</v>
      </c>
      <c r="C11" s="34">
        <v>-2.39</v>
      </c>
      <c r="D11" s="36">
        <v>-2.1</v>
      </c>
      <c r="E11" s="36">
        <v>-0.7</v>
      </c>
      <c r="F11" s="36">
        <v>0.7</v>
      </c>
      <c r="G11" s="31">
        <v>2.65</v>
      </c>
      <c r="H11" s="8">
        <v>2.95</v>
      </c>
      <c r="I11" s="36">
        <v>-2.39</v>
      </c>
      <c r="J11" s="36">
        <v>-2.1</v>
      </c>
      <c r="K11" s="36">
        <v>-0.7</v>
      </c>
      <c r="L11" s="36">
        <v>0.7</v>
      </c>
      <c r="M11" s="31">
        <v>2.65</v>
      </c>
      <c r="N11" s="9">
        <v>2.95</v>
      </c>
      <c r="O11" s="36">
        <v>-2.95</v>
      </c>
      <c r="P11" s="36">
        <v>-2.75</v>
      </c>
      <c r="Q11" s="36">
        <v>-0.9</v>
      </c>
      <c r="R11" s="36">
        <v>0.9</v>
      </c>
      <c r="S11" s="36">
        <v>2.8</v>
      </c>
      <c r="T11" s="9">
        <v>3.0500000000000003</v>
      </c>
      <c r="U11" s="35">
        <v>-2.95</v>
      </c>
      <c r="V11" s="36">
        <v>-2.75</v>
      </c>
      <c r="W11" s="36">
        <v>-0.9</v>
      </c>
      <c r="X11" s="36">
        <v>0.9</v>
      </c>
      <c r="Y11" s="36">
        <v>2.8</v>
      </c>
      <c r="Z11" s="9">
        <v>3.0700000000000003</v>
      </c>
      <c r="AA11" s="10">
        <v>-3</v>
      </c>
      <c r="AB11" s="34">
        <v>-2.8</v>
      </c>
      <c r="AC11" s="34">
        <v>-1.1000000000000001</v>
      </c>
      <c r="AD11" s="34">
        <v>1.1000000000000001</v>
      </c>
      <c r="AE11" s="34">
        <v>2.8</v>
      </c>
      <c r="AF11" s="8">
        <v>3.1</v>
      </c>
      <c r="AG11" s="16"/>
      <c r="AH11" s="55"/>
      <c r="AI11" s="1"/>
      <c r="AJ11" s="134"/>
      <c r="AK11" s="134"/>
      <c r="AL11" s="75"/>
      <c r="AM11" s="54"/>
      <c r="AN11" s="3"/>
      <c r="AO11" s="82"/>
      <c r="AP11" s="82"/>
      <c r="AQ11" s="83"/>
      <c r="AT11" s="100"/>
    </row>
    <row r="12" spans="1:49" x14ac:dyDescent="0.25">
      <c r="A12" s="220"/>
      <c r="B12" s="12" t="s">
        <v>11</v>
      </c>
      <c r="C12" s="16">
        <v>0</v>
      </c>
      <c r="D12" s="128">
        <v>-1</v>
      </c>
      <c r="E12" s="128">
        <v>-2.8</v>
      </c>
      <c r="F12" s="128">
        <v>-2.8</v>
      </c>
      <c r="G12" s="128">
        <v>-1.8</v>
      </c>
      <c r="H12" s="29">
        <v>0</v>
      </c>
      <c r="I12" s="16">
        <v>0</v>
      </c>
      <c r="J12" s="128">
        <v>-1.2</v>
      </c>
      <c r="K12" s="128">
        <v>-3.8</v>
      </c>
      <c r="L12" s="128">
        <v>-3.8</v>
      </c>
      <c r="M12" s="128">
        <v>-2.8</v>
      </c>
      <c r="N12" s="29">
        <v>0</v>
      </c>
      <c r="O12" s="16">
        <v>0</v>
      </c>
      <c r="P12" s="128">
        <v>-1.2</v>
      </c>
      <c r="Q12" s="128">
        <v>-3.8</v>
      </c>
      <c r="R12" s="128">
        <v>-3.8</v>
      </c>
      <c r="S12" s="128">
        <v>-2.8</v>
      </c>
      <c r="T12" s="29">
        <v>0</v>
      </c>
      <c r="U12" s="16">
        <v>0</v>
      </c>
      <c r="V12" s="128">
        <v>-1.3</v>
      </c>
      <c r="W12" s="128">
        <v>-3.5</v>
      </c>
      <c r="X12" s="128">
        <v>-3.5</v>
      </c>
      <c r="Y12" s="128">
        <v>-2.8</v>
      </c>
      <c r="Z12" s="32">
        <v>0</v>
      </c>
      <c r="AA12" s="16">
        <v>0</v>
      </c>
      <c r="AB12" s="111">
        <v>-1.2</v>
      </c>
      <c r="AC12" s="111">
        <v>-3.8</v>
      </c>
      <c r="AD12" s="111">
        <v>-3.8</v>
      </c>
      <c r="AE12" s="111">
        <v>-2.8</v>
      </c>
      <c r="AF12" s="29">
        <v>0</v>
      </c>
      <c r="AG12" s="16"/>
      <c r="AH12" s="55"/>
      <c r="AI12" s="1"/>
      <c r="AJ12" t="s">
        <v>80</v>
      </c>
      <c r="AL12">
        <f>(AD6+AD9+AD12)/3</f>
        <v>-3.4</v>
      </c>
      <c r="AM12" s="54"/>
      <c r="AN12" s="3"/>
      <c r="AO12" s="3"/>
      <c r="AP12" s="82"/>
      <c r="AQ12" s="83"/>
      <c r="AT12" s="100"/>
    </row>
    <row r="13" spans="1:49" ht="15.75" thickBot="1" x14ac:dyDescent="0.3">
      <c r="A13" s="221"/>
      <c r="B13" s="18" t="s">
        <v>12</v>
      </c>
      <c r="C13" s="19"/>
      <c r="D13" s="20"/>
      <c r="E13" s="20"/>
      <c r="F13" s="20"/>
      <c r="G13" s="20"/>
      <c r="H13" s="21"/>
      <c r="I13" s="22"/>
      <c r="J13" s="23"/>
      <c r="K13" s="23"/>
      <c r="L13" s="23"/>
      <c r="M13" s="23"/>
      <c r="N13" s="24"/>
      <c r="O13" s="22"/>
      <c r="P13" s="23"/>
      <c r="Q13" s="23"/>
      <c r="R13" s="23"/>
      <c r="S13" s="23"/>
      <c r="T13" s="24"/>
      <c r="U13" s="22"/>
      <c r="V13" s="23"/>
      <c r="W13" s="23"/>
      <c r="X13" s="23"/>
      <c r="Y13" s="23"/>
      <c r="Z13" s="24"/>
      <c r="AA13" s="25">
        <v>0</v>
      </c>
      <c r="AB13" s="20"/>
      <c r="AC13" s="20"/>
      <c r="AD13" s="20"/>
      <c r="AE13" s="20"/>
      <c r="AF13" s="21"/>
      <c r="AG13" s="16"/>
      <c r="AH13" s="60"/>
      <c r="AI13" s="137"/>
      <c r="AJ13" s="137"/>
      <c r="AK13" s="137"/>
      <c r="AL13" s="80"/>
      <c r="AM13" s="57"/>
      <c r="AN13" s="58"/>
      <c r="AO13" s="58"/>
      <c r="AP13" s="58"/>
      <c r="AQ13" s="84"/>
    </row>
    <row r="15" spans="1:49" x14ac:dyDescent="0.25">
      <c r="A15" s="47"/>
      <c r="B15" s="63"/>
      <c r="C15">
        <f>(C5*D6)-(C6*D5)</f>
        <v>0</v>
      </c>
      <c r="D15">
        <f t="shared" ref="D15:Y15" si="1">(D5*E6)-(D6*E5)</f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>(H5*C6)-(H6*C5)</f>
        <v>0</v>
      </c>
      <c r="I15">
        <f t="shared" si="1"/>
        <v>0</v>
      </c>
      <c r="J15">
        <f t="shared" si="1"/>
        <v>0</v>
      </c>
      <c r="K15">
        <f t="shared" si="1"/>
        <v>0</v>
      </c>
      <c r="L15">
        <f t="shared" si="1"/>
        <v>0</v>
      </c>
      <c r="M15">
        <f t="shared" si="1"/>
        <v>0</v>
      </c>
      <c r="N15">
        <f>(N5*I6)-(N6*I5)</f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>(T5*O6)-(T6*O5)</f>
        <v>0</v>
      </c>
      <c r="U15">
        <f t="shared" si="1"/>
        <v>1.2800000000000002</v>
      </c>
      <c r="V15">
        <f t="shared" si="1"/>
        <v>0</v>
      </c>
      <c r="W15">
        <f t="shared" si="1"/>
        <v>2.5600000000000005</v>
      </c>
      <c r="X15">
        <f t="shared" si="1"/>
        <v>0</v>
      </c>
      <c r="Y15">
        <f t="shared" si="1"/>
        <v>1.2800000000000002</v>
      </c>
      <c r="Z15">
        <f>(Z5*U6)-(Z6*U5)</f>
        <v>0</v>
      </c>
      <c r="AA15">
        <f>(AA5*AB6)-(AA6*AB5)</f>
        <v>3.25</v>
      </c>
      <c r="AB15">
        <f>(AB5*AC6)-(AB6*AC5)</f>
        <v>1.5999999999999996</v>
      </c>
      <c r="AC15">
        <f>(AC5*AD6)-(AC6*AD5)</f>
        <v>5.1000000000000005</v>
      </c>
      <c r="AD15">
        <f>(AD5*AE6)-(AD6*AE5)</f>
        <v>1.3499999999999996</v>
      </c>
      <c r="AE15">
        <f>(AE5*AF6)-(AE6*AF5)</f>
        <v>3.25</v>
      </c>
      <c r="AF15">
        <f>(AF5*AA6)-(AF6*AA5)</f>
        <v>0</v>
      </c>
      <c r="AG15" s="162">
        <f>ABS(SUM(C15:H15))/2</f>
        <v>0</v>
      </c>
      <c r="AH15" s="162">
        <f>ABS(SUM(I15:N15))/2</f>
        <v>0</v>
      </c>
      <c r="AI15" s="162">
        <f>ABS(SUM(O15:T15))/2</f>
        <v>0</v>
      </c>
      <c r="AJ15" s="168">
        <f>ABS(SUM(U15:Z15))/2</f>
        <v>2.5600000000000005</v>
      </c>
      <c r="AK15" s="168">
        <f>ABS(SUM(AA15:AF15))/2</f>
        <v>7.2749999999999995</v>
      </c>
    </row>
    <row r="16" spans="1:49" ht="14.25" customHeight="1" x14ac:dyDescent="0.25">
      <c r="A16" s="47"/>
      <c r="B16" s="63"/>
      <c r="C16">
        <f>(C8*D9)-(C9*D8)</f>
        <v>1.9199999999999997</v>
      </c>
      <c r="D16">
        <f t="shared" ref="D16:Y16" si="2">(D8*E9)-(D9*E8)</f>
        <v>0</v>
      </c>
      <c r="E16">
        <f t="shared" si="2"/>
        <v>2.8000000000000003</v>
      </c>
      <c r="F16">
        <f t="shared" si="2"/>
        <v>0</v>
      </c>
      <c r="G16">
        <f t="shared" si="2"/>
        <v>0.88000000000000045</v>
      </c>
      <c r="H16">
        <f>(H8*C9)-(H9*C8)</f>
        <v>0</v>
      </c>
      <c r="I16">
        <f t="shared" si="2"/>
        <v>2.8</v>
      </c>
      <c r="J16">
        <f t="shared" si="2"/>
        <v>2.1999999999999997</v>
      </c>
      <c r="K16">
        <f t="shared" si="2"/>
        <v>4.1999999999999993</v>
      </c>
      <c r="L16">
        <f t="shared" si="2"/>
        <v>1.9000000000000004</v>
      </c>
      <c r="M16">
        <f t="shared" si="2"/>
        <v>2.3400000000000007</v>
      </c>
      <c r="N16">
        <f>(N8*I9)-(N9*I8)</f>
        <v>0</v>
      </c>
      <c r="O16">
        <f t="shared" si="2"/>
        <v>4.4000000000000004</v>
      </c>
      <c r="P16">
        <f t="shared" si="2"/>
        <v>5.23</v>
      </c>
      <c r="Q16">
        <f t="shared" si="2"/>
        <v>5.27</v>
      </c>
      <c r="R16">
        <f t="shared" si="2"/>
        <v>3.1279999999999992</v>
      </c>
      <c r="S16">
        <f t="shared" si="2"/>
        <v>3.2</v>
      </c>
      <c r="T16">
        <f>(T8*O9)-(T9*O8)</f>
        <v>0</v>
      </c>
      <c r="U16">
        <f t="shared" si="2"/>
        <v>6.2</v>
      </c>
      <c r="V16">
        <f t="shared" si="2"/>
        <v>7.6599999999999993</v>
      </c>
      <c r="W16">
        <f t="shared" si="2"/>
        <v>7.48</v>
      </c>
      <c r="X16">
        <f t="shared" si="2"/>
        <v>5.6899999999999995</v>
      </c>
      <c r="Y16">
        <f t="shared" si="2"/>
        <v>6.48</v>
      </c>
      <c r="Z16">
        <f>(Z8*U9)-(Z9*U8)</f>
        <v>0</v>
      </c>
      <c r="AA16">
        <f>(AA8*AB9)-(AA9*AB8)</f>
        <v>6.2</v>
      </c>
      <c r="AB16">
        <f>(AB8*AC9)-(AB9*AC8)</f>
        <v>7.06</v>
      </c>
      <c r="AC16">
        <f>(AC8*AD9)-(AC9*AD8)</f>
        <v>9.52</v>
      </c>
      <c r="AD16">
        <f>(AD8*AE9)-(AD9*AE8)</f>
        <v>6.5</v>
      </c>
      <c r="AE16">
        <f>(AE8*AF9)-(AE9*AF8)</f>
        <v>7.68</v>
      </c>
      <c r="AF16">
        <f>(AF8*AA9)-(AF9*AA8)</f>
        <v>0</v>
      </c>
      <c r="AG16" s="162">
        <f>ABS(SUM(C16:H16))/2</f>
        <v>2.8000000000000003</v>
      </c>
      <c r="AH16" s="162">
        <f>ABS(SUM(I16:N16))/2</f>
        <v>6.7200000000000006</v>
      </c>
      <c r="AI16" s="162">
        <f>ABS(SUM(O16:T16))/2</f>
        <v>10.613999999999999</v>
      </c>
      <c r="AJ16" s="168">
        <f>ABS(SUM(U16:Z16))/2</f>
        <v>16.755000000000003</v>
      </c>
      <c r="AK16" s="168">
        <f>ABS(SUM(AA16:AF16))/2</f>
        <v>18.48</v>
      </c>
    </row>
    <row r="17" spans="1:37" x14ac:dyDescent="0.25">
      <c r="A17" s="47"/>
      <c r="B17" s="63"/>
      <c r="C17">
        <f>(C11*D12)-(C12*D11)</f>
        <v>2.39</v>
      </c>
      <c r="D17">
        <f t="shared" ref="D17:Y17" si="3">(D11*E12)-(D12*E11)</f>
        <v>5.18</v>
      </c>
      <c r="E17">
        <f t="shared" si="3"/>
        <v>3.9199999999999995</v>
      </c>
      <c r="F17">
        <f t="shared" si="3"/>
        <v>6.1599999999999993</v>
      </c>
      <c r="G17">
        <f t="shared" si="3"/>
        <v>5.3100000000000005</v>
      </c>
      <c r="H17">
        <f>(H11*C12)-(H12*C11)</f>
        <v>0</v>
      </c>
      <c r="I17">
        <f t="shared" si="3"/>
        <v>2.8679999999999999</v>
      </c>
      <c r="J17">
        <f t="shared" si="3"/>
        <v>7.14</v>
      </c>
      <c r="K17">
        <f t="shared" si="3"/>
        <v>5.3199999999999994</v>
      </c>
      <c r="L17">
        <f t="shared" si="3"/>
        <v>8.11</v>
      </c>
      <c r="M17">
        <f t="shared" si="3"/>
        <v>8.26</v>
      </c>
      <c r="N17">
        <f>(N11*I12)-(N12*I11)</f>
        <v>0</v>
      </c>
      <c r="O17">
        <f t="shared" si="3"/>
        <v>3.54</v>
      </c>
      <c r="P17">
        <f t="shared" si="3"/>
        <v>9.3699999999999992</v>
      </c>
      <c r="Q17">
        <f t="shared" si="3"/>
        <v>6.84</v>
      </c>
      <c r="R17">
        <f t="shared" si="3"/>
        <v>8.1199999999999992</v>
      </c>
      <c r="S17">
        <f t="shared" si="3"/>
        <v>8.5400000000000009</v>
      </c>
      <c r="T17">
        <f>(T11*O12)-(T12*O11)</f>
        <v>0</v>
      </c>
      <c r="U17">
        <f t="shared" si="3"/>
        <v>3.8350000000000004</v>
      </c>
      <c r="V17">
        <f t="shared" si="3"/>
        <v>8.4550000000000001</v>
      </c>
      <c r="W17">
        <f t="shared" si="3"/>
        <v>6.3</v>
      </c>
      <c r="X17">
        <f t="shared" si="3"/>
        <v>7.2799999999999994</v>
      </c>
      <c r="Y17">
        <f t="shared" si="3"/>
        <v>8.5960000000000001</v>
      </c>
      <c r="Z17">
        <f>(Z11*U12)-(Z12*U11)</f>
        <v>0</v>
      </c>
      <c r="AA17">
        <f>(AA11*AB12)-(AA12*AB11)</f>
        <v>3.5999999999999996</v>
      </c>
      <c r="AB17">
        <f>(AB11*AC12)-(AB12*AC11)</f>
        <v>9.3199999999999985</v>
      </c>
      <c r="AC17">
        <f>(AC11*AD12)-(AC12*AD11)</f>
        <v>8.36</v>
      </c>
      <c r="AD17">
        <f>(AD11*AE12)-(AD12*AE11)</f>
        <v>7.5599999999999987</v>
      </c>
      <c r="AE17">
        <f>(AE11*AF12)-(AE12*AF11)</f>
        <v>8.68</v>
      </c>
      <c r="AF17">
        <f>(AF11*AA12)-(AF12*AA11)</f>
        <v>0</v>
      </c>
      <c r="AG17" s="162">
        <f>ABS(SUM(C17:H17))/2</f>
        <v>11.48</v>
      </c>
      <c r="AH17" s="162">
        <f>ABS(SUM(I17:N17))/2</f>
        <v>15.849</v>
      </c>
      <c r="AI17" s="162">
        <f>ABS(SUM(O17:T17))/2</f>
        <v>18.204999999999998</v>
      </c>
      <c r="AJ17" s="168">
        <f>ABS(SUM(U17:Z17))/2</f>
        <v>17.232999999999997</v>
      </c>
      <c r="AK17" s="168">
        <f>ABS(SUM(AA17:AF17))/2</f>
        <v>18.759999999999998</v>
      </c>
    </row>
    <row r="19" spans="1:37" x14ac:dyDescent="0.25">
      <c r="A19" s="85"/>
      <c r="C19" s="47">
        <f>F3</f>
        <v>41453</v>
      </c>
      <c r="D19" s="47">
        <f>K3</f>
        <v>41478</v>
      </c>
      <c r="E19" s="47">
        <f>Q3</f>
        <v>41491</v>
      </c>
      <c r="F19" s="47">
        <f>W3</f>
        <v>41499</v>
      </c>
      <c r="G19" s="47">
        <f>AC3</f>
        <v>41516</v>
      </c>
      <c r="N19" s="47">
        <v>41930</v>
      </c>
    </row>
    <row r="20" spans="1:37" x14ac:dyDescent="0.25">
      <c r="A20" t="s">
        <v>9</v>
      </c>
      <c r="B20" t="s">
        <v>10</v>
      </c>
      <c r="C20">
        <f>H8-C8</f>
        <v>1.75</v>
      </c>
      <c r="D20">
        <f>N8-I8</f>
        <v>2.5700000000000003</v>
      </c>
      <c r="E20">
        <f>T8-O8</f>
        <v>3.8000000000000003</v>
      </c>
      <c r="F20">
        <f>Z8-U8</f>
        <v>5.8000000000000007</v>
      </c>
      <c r="G20">
        <f>AF8-AA8</f>
        <v>6.3000000000000007</v>
      </c>
      <c r="M20">
        <v>0</v>
      </c>
      <c r="R20">
        <v>3</v>
      </c>
    </row>
    <row r="21" spans="1:37" x14ac:dyDescent="0.25">
      <c r="B21" t="s">
        <v>11</v>
      </c>
      <c r="C21">
        <f>F9</f>
        <v>-1.6</v>
      </c>
      <c r="D21">
        <f>L9</f>
        <v>-3</v>
      </c>
      <c r="E21">
        <f>R9</f>
        <v>-3.4</v>
      </c>
      <c r="F21">
        <f>X9</f>
        <v>-3.4</v>
      </c>
      <c r="G21">
        <f>AD9</f>
        <v>-3.4</v>
      </c>
      <c r="M21">
        <v>4.2</v>
      </c>
      <c r="R21">
        <v>4.2</v>
      </c>
    </row>
    <row r="22" spans="1:37" x14ac:dyDescent="0.25">
      <c r="B22" t="s">
        <v>12</v>
      </c>
      <c r="C22">
        <f>AA10</f>
        <v>2.4</v>
      </c>
      <c r="D22">
        <v>2.4</v>
      </c>
      <c r="E22">
        <v>2.4</v>
      </c>
      <c r="F22">
        <f>AA10+AA7</f>
        <v>6.1999999999999993</v>
      </c>
      <c r="G22">
        <f>AA10+AA7</f>
        <v>6.1999999999999993</v>
      </c>
      <c r="M22">
        <v>1.65</v>
      </c>
    </row>
    <row r="23" spans="1:37" x14ac:dyDescent="0.25">
      <c r="A23" t="s">
        <v>13</v>
      </c>
      <c r="B23" t="s">
        <v>10</v>
      </c>
      <c r="M23">
        <v>0</v>
      </c>
      <c r="R23">
        <v>4.3</v>
      </c>
    </row>
    <row r="24" spans="1:37" x14ac:dyDescent="0.25">
      <c r="B24" t="s">
        <v>11</v>
      </c>
      <c r="M24">
        <v>4.5</v>
      </c>
      <c r="R24">
        <v>4.5</v>
      </c>
    </row>
    <row r="25" spans="1:37" x14ac:dyDescent="0.25">
      <c r="B25" t="s">
        <v>12</v>
      </c>
      <c r="M25">
        <v>0</v>
      </c>
    </row>
  </sheetData>
  <mergeCells count="5">
    <mergeCell ref="AH2:AL2"/>
    <mergeCell ref="AM2:AQ2"/>
    <mergeCell ref="A5:A7"/>
    <mergeCell ref="A8:A10"/>
    <mergeCell ref="A11:A13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G13</vt:lpstr>
      <vt:lpstr>summary</vt:lpstr>
      <vt:lpstr>Headcut depths</vt:lpstr>
      <vt:lpstr>RF VS L</vt:lpstr>
      <vt:lpstr>RF vs L,W,D</vt:lpstr>
      <vt:lpstr>summary 1</vt:lpstr>
      <vt:lpstr>CORRELations</vt:lpstr>
      <vt:lpstr>porewater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2016-03-02T19:35:21Z</dcterms:modified>
</cp:coreProperties>
</file>